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CIV\CPA\SHARED\CPA DATABASES\OPIOID SETTLEMENTS\County Reporting Spreadsheets\FY25 County and State Reports\"/>
    </mc:Choice>
  </mc:AlternateContent>
  <xr:revisionPtr revIDLastSave="0" documentId="8_{12833FF8-E356-49C3-A0DC-8262E4749878}" xr6:coauthVersionLast="36" xr6:coauthVersionMax="36" xr10:uidLastSave="{00000000-0000-0000-0000-000000000000}"/>
  <bookViews>
    <workbookView xWindow="0" yWindow="0" windowWidth="28800" windowHeight="12108" tabRatio="416" activeTab="2" xr2:uid="{35BD7D4E-0E12-44C5-9B49-64E724B9E830}"/>
  </bookViews>
  <sheets>
    <sheet name="Summary" sheetId="3" r:id="rId1"/>
    <sheet name="Settlement Funds Received" sheetId="1" r:id="rId2"/>
    <sheet name="Settlement Fund Expenditures" sheetId="2" r:id="rId3"/>
  </sheets>
  <definedNames>
    <definedName name="_xlnm._FilterDatabase" localSheetId="2" hidden="1">'Settlement Fund Expenditures'!$A$3:$I$47</definedName>
    <definedName name="_xlnm._FilterDatabase" localSheetId="1" hidden="1">'Settlement Funds Received'!$A$3:$D$19</definedName>
    <definedName name="_xlnm._FilterDatabase" localSheetId="0" hidden="1">Summary!$A$4:$C$16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6" i="3" l="1"/>
  <c r="R7" i="3"/>
  <c r="R5" i="3"/>
  <c r="Q6" i="3"/>
  <c r="Q7" i="3"/>
  <c r="Q5" i="3"/>
  <c r="Q8" i="3" l="1"/>
  <c r="O7" i="3"/>
  <c r="O6" i="3"/>
  <c r="O5" i="3"/>
  <c r="P7" i="3"/>
  <c r="P6" i="3"/>
  <c r="P5" i="3"/>
  <c r="N7" i="3"/>
  <c r="N6" i="3"/>
  <c r="N5" i="3"/>
  <c r="M7" i="3"/>
  <c r="M6" i="3"/>
  <c r="M5" i="3"/>
  <c r="L7" i="3"/>
  <c r="L6" i="3"/>
  <c r="L5" i="3"/>
  <c r="K7" i="3"/>
  <c r="J7" i="3"/>
  <c r="I7" i="3"/>
  <c r="H7" i="3"/>
  <c r="G7" i="3"/>
  <c r="F7" i="3"/>
  <c r="B8" i="3"/>
  <c r="C8" i="3"/>
  <c r="B9" i="3"/>
  <c r="C9" i="3"/>
  <c r="B10" i="3"/>
  <c r="C10" i="3"/>
  <c r="B11" i="3"/>
  <c r="C11" i="3"/>
  <c r="B12" i="3"/>
  <c r="C12" i="3"/>
  <c r="B13" i="3"/>
  <c r="C13" i="3"/>
  <c r="M8" i="3" l="1"/>
  <c r="L8" i="3"/>
  <c r="P8" i="3"/>
  <c r="O8" i="3"/>
  <c r="N8" i="3"/>
  <c r="F47" i="2"/>
  <c r="D31" i="1"/>
  <c r="K6" i="3" l="1"/>
  <c r="J6" i="3"/>
  <c r="I6" i="3"/>
  <c r="H6" i="3"/>
  <c r="G6" i="3"/>
  <c r="F6" i="3"/>
  <c r="F5" i="3"/>
  <c r="C5" i="3"/>
  <c r="F8" i="3" l="1"/>
  <c r="K5" i="3"/>
  <c r="K8" i="3" s="1"/>
  <c r="J5" i="3"/>
  <c r="J8" i="3" s="1"/>
  <c r="I5" i="3"/>
  <c r="I8" i="3" s="1"/>
  <c r="H5" i="3"/>
  <c r="H8" i="3" s="1"/>
  <c r="G5" i="3"/>
  <c r="G8" i="3" s="1"/>
  <c r="C6" i="3"/>
  <c r="C7" i="3"/>
  <c r="C14" i="3"/>
  <c r="C15" i="3"/>
  <c r="C16" i="3"/>
  <c r="B6" i="3"/>
  <c r="B7" i="3"/>
  <c r="B14" i="3"/>
  <c r="B15" i="3"/>
  <c r="B16" i="3"/>
  <c r="B5" i="3"/>
  <c r="R8" i="3" l="1"/>
  <c r="C17" i="3"/>
  <c r="B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Lawson Risoldi, Liza</author>
  </authors>
  <commentList>
    <comment ref="B3" authorId="0" shapeId="0" xr:uid="{2DF843C5-52CB-4778-A755-823F1D039A76}">
      <text>
        <r>
          <rPr>
            <b/>
            <sz val="9"/>
            <color indexed="81"/>
            <rFont val="Tahoma"/>
            <family val="2"/>
          </rPr>
          <t>Lawson Risoldi, Liza:</t>
        </r>
        <r>
          <rPr>
            <sz val="9"/>
            <color indexed="81"/>
            <rFont val="Tahoma"/>
            <family val="2"/>
          </rPr>
          <t xml:space="preserve">
I'm not sure if this is the date received or the date disbursed - should we have a date for each?</t>
        </r>
      </text>
    </comment>
  </commentList>
</comments>
</file>

<file path=xl/sharedStrings.xml><?xml version="1.0" encoding="utf-8"?>
<sst xmlns="http://schemas.openxmlformats.org/spreadsheetml/2006/main" count="437" uniqueCount="152">
  <si>
    <t>Source</t>
  </si>
  <si>
    <t>Amount Received</t>
  </si>
  <si>
    <t>Recipient</t>
  </si>
  <si>
    <t>Allergan</t>
  </si>
  <si>
    <t>CVS</t>
  </si>
  <si>
    <t>Distributor</t>
  </si>
  <si>
    <t>Mallinckrodt</t>
  </si>
  <si>
    <t>Teva</t>
  </si>
  <si>
    <t>Walgreens</t>
  </si>
  <si>
    <t>Walmart</t>
  </si>
  <si>
    <t>State</t>
  </si>
  <si>
    <t>Janssen</t>
  </si>
  <si>
    <t>Total Received</t>
  </si>
  <si>
    <t>TOTALS</t>
  </si>
  <si>
    <t>Date Received</t>
  </si>
  <si>
    <t>Granted Amount</t>
  </si>
  <si>
    <t>Program Funded</t>
  </si>
  <si>
    <t>Approved Purpose Category</t>
  </si>
  <si>
    <t>Disbursment Terms</t>
  </si>
  <si>
    <t>Project Period</t>
  </si>
  <si>
    <t>FY2023</t>
  </si>
  <si>
    <t>Cope Community Services Inc</t>
  </si>
  <si>
    <t>Phoenix Rescue Mission</t>
  </si>
  <si>
    <t>Parents Of Addicted Loved Ones</t>
  </si>
  <si>
    <t>Fullcircle Program Inc</t>
  </si>
  <si>
    <t>Hope For Addiction Inc</t>
  </si>
  <si>
    <t>True Pursuit</t>
  </si>
  <si>
    <t>Wilson Leigh &amp; Associates</t>
  </si>
  <si>
    <t>The Dream Institute</t>
  </si>
  <si>
    <t>Southwest Behavioral Health Services Inc</t>
  </si>
  <si>
    <t>Empact Suicide Prevention Center</t>
  </si>
  <si>
    <t>Apache County Youth Council</t>
  </si>
  <si>
    <t>Notmykid Inc</t>
  </si>
  <si>
    <t>Graham County Substance Abuse Coalition</t>
  </si>
  <si>
    <t>Chicanos Por La Causa Inc</t>
  </si>
  <si>
    <t>City Help Inc Of Phoenix</t>
  </si>
  <si>
    <t>Hushabye Nursery</t>
  </si>
  <si>
    <t>Graham County</t>
  </si>
  <si>
    <t>Cochise County</t>
  </si>
  <si>
    <t>Off Madison Ave</t>
  </si>
  <si>
    <t>Annual</t>
  </si>
  <si>
    <t>SUD/OUD Prevention and Treatment</t>
  </si>
  <si>
    <t>PRM Alumni Association</t>
  </si>
  <si>
    <t>Educating Families of SUD-OUD (Statewide)</t>
  </si>
  <si>
    <t xml:space="preserve">FullCircle Program </t>
  </si>
  <si>
    <t>Freedom House</t>
  </si>
  <si>
    <t>Rise Up Mentorship Program</t>
  </si>
  <si>
    <t>MATCore Implementation</t>
  </si>
  <si>
    <t>Short Creek Dream Center</t>
  </si>
  <si>
    <t>Enhance established services and build sustainability in recovery support services.</t>
  </si>
  <si>
    <t>Youth Opioid Prevention Program</t>
  </si>
  <si>
    <t>ACYC Opioid Prevention Project</t>
  </si>
  <si>
    <t>CGA Youth Resiliency Project</t>
  </si>
  <si>
    <t>Opioid Prevention &amp; Recovery Support (Mohave)</t>
  </si>
  <si>
    <t>Opioid Prevention &amp; Recovery Support (Pima)</t>
  </si>
  <si>
    <t>Increasing Fentanyl Awareness</t>
  </si>
  <si>
    <t>CPLC Parenting Arizona</t>
  </si>
  <si>
    <t>Phoenix Dream Center</t>
  </si>
  <si>
    <t>Expansion of Infant Inpatient Program</t>
  </si>
  <si>
    <t>Hushabye Nursery Rural Expansion</t>
  </si>
  <si>
    <t>LEA</t>
  </si>
  <si>
    <t>Awareness Campaign</t>
  </si>
  <si>
    <t xml:space="preserve">B. Support People in Treatment and Recovery </t>
  </si>
  <si>
    <t>C. Connect People Who Need Help to the Help They Need (Connections to Care)</t>
  </si>
  <si>
    <t>G. Discourage or Prevent Misuse of Opioids</t>
  </si>
  <si>
    <t>E. Address the Needs of Pregnant or Parenting Women and their Families, Including Babies with Neonatal Abstinence Syndrome</t>
  </si>
  <si>
    <t>Recipient Type</t>
  </si>
  <si>
    <t>Non-Profit Organization</t>
  </si>
  <si>
    <t>Jacob's Hope Inc</t>
  </si>
  <si>
    <t>City</t>
  </si>
  <si>
    <t>County</t>
  </si>
  <si>
    <t>Marketing Firm</t>
  </si>
  <si>
    <t>Avondale, City</t>
  </si>
  <si>
    <t>Glendale, City</t>
  </si>
  <si>
    <t>Mesa, City</t>
  </si>
  <si>
    <t>Navajo County</t>
  </si>
  <si>
    <t>Phoenix, City</t>
  </si>
  <si>
    <t>Scottsdale, City</t>
  </si>
  <si>
    <t>Yuma, City</t>
  </si>
  <si>
    <t>Cochise County Sheriff's Office</t>
  </si>
  <si>
    <t>Coconino County Sheriff's Office</t>
  </si>
  <si>
    <t>Mohave County Sheriff's Office</t>
  </si>
  <si>
    <t>Pima County Board of Supervisors</t>
  </si>
  <si>
    <t>Yavapai County Sheriff's Office</t>
  </si>
  <si>
    <t>Chandler Police Department</t>
  </si>
  <si>
    <t xml:space="preserve">Globe Police Department </t>
  </si>
  <si>
    <t>Pinal County Public Health</t>
  </si>
  <si>
    <t>Arizona Department of Corrections</t>
  </si>
  <si>
    <t>Community Re-entry Program and MAT Program</t>
  </si>
  <si>
    <t>Pathways to Community Program - Re-entry Project</t>
  </si>
  <si>
    <t>Coordinated Jail Re-entry Program</t>
  </si>
  <si>
    <t>Pima Discharge Re-entry Grant</t>
  </si>
  <si>
    <t>Coordinated Re-entry Planning Services Program: Statewide Cross-system Recidivism Tracking Database</t>
  </si>
  <si>
    <t>Southwest Family &amp; Advocacy Center</t>
  </si>
  <si>
    <t>Chandler Family Advocacy Center</t>
  </si>
  <si>
    <t>Glendale Family Advocacy Center</t>
  </si>
  <si>
    <t>Copper Hills Family Advocacy Center</t>
  </si>
  <si>
    <t>Mesa Child &amp; Family Advocacy Center</t>
  </si>
  <si>
    <t>Northeast Arizona Family Resource Center</t>
  </si>
  <si>
    <t>Phoenix Family Advocacy Center</t>
  </si>
  <si>
    <t>Pinal County Family Advocacy Center - Eloy</t>
  </si>
  <si>
    <t>Pinal County Family Advocacy Center - Maricopa</t>
  </si>
  <si>
    <t>Pinal County Family Advocacy Center - SanTan</t>
  </si>
  <si>
    <t>Scottsdale Family Advocacy Center</t>
  </si>
  <si>
    <t>State Department</t>
  </si>
  <si>
    <t>Quarterly</t>
  </si>
  <si>
    <t>A</t>
  </si>
  <si>
    <t>B</t>
  </si>
  <si>
    <t>C</t>
  </si>
  <si>
    <t>D</t>
  </si>
  <si>
    <t>E</t>
  </si>
  <si>
    <t>G</t>
  </si>
  <si>
    <t>K</t>
  </si>
  <si>
    <t># of Payments</t>
  </si>
  <si>
    <t>A. Treat Opioid Use Disorder</t>
  </si>
  <si>
    <t>K. Support Training to Abate the Opioid Epidemic Through Activities, Programs, or Strategies</t>
  </si>
  <si>
    <t>D. Address the Needs of Criminal- Justice- Involved Persons</t>
  </si>
  <si>
    <t>Local Government?</t>
  </si>
  <si>
    <t>Yes</t>
  </si>
  <si>
    <t>No</t>
  </si>
  <si>
    <t>STATE</t>
  </si>
  <si>
    <t>NA</t>
  </si>
  <si>
    <t>Allocation Recipient</t>
  </si>
  <si>
    <t>1/1/24-12/31/24</t>
  </si>
  <si>
    <t>7/1/23-6/30/24</t>
  </si>
  <si>
    <t>CGA, Inc. (Casa Grande Alliance)</t>
  </si>
  <si>
    <t>TOTAL</t>
  </si>
  <si>
    <t>Total State Settlement Funds Received</t>
  </si>
  <si>
    <t>1/1/24 to 12/31/24</t>
  </si>
  <si>
    <t>For data complilation only</t>
  </si>
  <si>
    <t>Annual Expenditures by Approved Purpose</t>
  </si>
  <si>
    <t>7/1/23 to 6/30/24</t>
  </si>
  <si>
    <t>Arizona Department of Corrections Rehabilitation &amp; Reentry</t>
  </si>
  <si>
    <t>7/1/24-6/30/25</t>
  </si>
  <si>
    <t>FY2025</t>
  </si>
  <si>
    <t>Arizona Department of Health Services</t>
  </si>
  <si>
    <t>Arizona Department of Emergency Management</t>
  </si>
  <si>
    <t>I. First Responders</t>
  </si>
  <si>
    <t>No spending reported</t>
  </si>
  <si>
    <t>Endo</t>
  </si>
  <si>
    <t>State Cost Funds</t>
  </si>
  <si>
    <t>State Fee Fund</t>
  </si>
  <si>
    <t>Kroger</t>
  </si>
  <si>
    <t xml:space="preserve">State </t>
  </si>
  <si>
    <t>STATE SETTLEMENT FUNDS RECEIVED FY23-FY25</t>
  </si>
  <si>
    <t>STATE SETTLEMENT FUND EXPENDITURES FY23-FY25</t>
  </si>
  <si>
    <t>7/31/24 to 6/30/24</t>
  </si>
  <si>
    <t>H</t>
  </si>
  <si>
    <t>I</t>
  </si>
  <si>
    <t>J</t>
  </si>
  <si>
    <t>L</t>
  </si>
  <si>
    <t>Spending Not Reported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</si>
</sst>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3"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color theme="4"/>
      <name val="Calibri"/>
      <family val="2"/>
      <scheme val="minor"/>
    </font>
    <font>
      <b/>
      <sz val="16"/>
      <color theme="0"/>
      <name val="Century Schoolbook"/>
      <family val="1"/>
    </font>
    <font>
      <sz val="16"/>
      <color theme="0"/>
      <name val="Century Schoolbook"/>
      <family val="1"/>
    </font>
    <font>
      <b/>
      <sz val="12"/>
      <color theme="0"/>
      <name val="Century Schoolbook"/>
      <family val="1"/>
    </font>
    <font>
      <b/>
      <sz val="11"/>
      <color theme="1"/>
      <name val="Century Schoolbook"/>
      <family val="1"/>
    </font>
    <font>
      <sz val="11"/>
      <color theme="1"/>
      <name val="Century Schoolbook"/>
      <family val="1"/>
    </font>
    <font>
      <b/>
      <sz val="11"/>
      <name val="Century Schoolbook"/>
      <family val="1"/>
    </font>
    <font>
      <sz val="11"/>
      <name val="Century Schoolbook"/>
      <family val="1"/>
    </font>
    <font>
      <sz val="11"/>
      <color theme="1"/>
      <name val="Calibri"/>
      <family val="2"/>
      <scheme val="minor"/>
    </font>
  </fonts>
  <fills count="6">
    <fill>
      <patternFill patternType="none"/>
    </fill>
    <fill>
      <patternFill patternType="gray125"/>
    </fill>
    <fill>
      <patternFill patternType="solid">
        <fgColor rgb="FFDCA484"/>
        <bgColor indexed="64"/>
      </patternFill>
    </fill>
    <fill>
      <patternFill patternType="solid">
        <fgColor rgb="FF192857"/>
        <bgColor indexed="64"/>
      </patternFill>
    </fill>
    <fill>
      <patternFill patternType="solid">
        <fgColor rgb="FFC97951"/>
        <bgColor indexed="64"/>
      </patternFill>
    </fill>
    <fill>
      <patternFill patternType="solid">
        <fgColor rgb="FFFFC0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xf numFmtId="44" fontId="12" fillId="0" borderId="0" applyFont="0" applyFill="0" applyBorder="0" applyAlignment="0" applyProtection="0"/>
  </cellStyleXfs>
  <cellXfs count="60">
    <xf numFmtId="0" fontId="0" fillId="0" borderId="0" xfId="0"/>
    <xf numFmtId="0" fontId="0" fillId="0" borderId="0" xfId="0" applyAlignment="1">
      <alignment horizontal="center" vertical="center" wrapText="1"/>
    </xf>
    <xf numFmtId="14" fontId="0" fillId="0" borderId="0" xfId="0" applyNumberFormat="1" applyAlignment="1">
      <alignment horizontal="center" vertical="center" wrapText="1"/>
    </xf>
    <xf numFmtId="164" fontId="0" fillId="0" borderId="0" xfId="0" applyNumberFormat="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164" fontId="0" fillId="0" borderId="0" xfId="0" applyNumberFormat="1" applyAlignment="1">
      <alignment horizontal="center" vertical="center"/>
    </xf>
    <xf numFmtId="0" fontId="1" fillId="0" borderId="0" xfId="0" applyFont="1" applyAlignment="1">
      <alignment horizontal="left" vertical="center" wrapText="1"/>
    </xf>
    <xf numFmtId="0" fontId="0" fillId="0" borderId="0" xfId="0" applyFont="1" applyAlignment="1">
      <alignment horizontal="center" vertical="center" wrapText="1"/>
    </xf>
    <xf numFmtId="0" fontId="4" fillId="0" borderId="0" xfId="0" applyFont="1" applyAlignment="1">
      <alignment horizontal="center" vertical="center"/>
    </xf>
    <xf numFmtId="164" fontId="4" fillId="0" borderId="0" xfId="0" applyNumberFormat="1" applyFont="1" applyAlignment="1">
      <alignment horizontal="center" vertical="center"/>
    </xf>
    <xf numFmtId="164" fontId="4" fillId="0" borderId="0" xfId="0" applyNumberFormat="1" applyFont="1"/>
    <xf numFmtId="0" fontId="4" fillId="0" borderId="0" xfId="0" applyFont="1"/>
    <xf numFmtId="0" fontId="8" fillId="4" borderId="1" xfId="0"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164" fontId="8" fillId="4"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horizontal="center" vertical="center" wrapText="1"/>
    </xf>
    <xf numFmtId="0" fontId="8" fillId="4" borderId="1" xfId="0" applyFont="1" applyFill="1" applyBorder="1" applyAlignment="1">
      <alignment horizontal="center" vertical="center" wrapText="1"/>
    </xf>
    <xf numFmtId="164" fontId="8" fillId="4"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horizontal="center" vertical="center" wrapText="1"/>
    </xf>
    <xf numFmtId="164" fontId="8" fillId="5"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164" fontId="9" fillId="0" borderId="1" xfId="0" applyNumberFormat="1" applyFont="1" applyBorder="1" applyAlignment="1">
      <alignment horizontal="center" vertical="center"/>
    </xf>
    <xf numFmtId="0" fontId="10" fillId="5"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 xfId="0" applyFont="1" applyFill="1" applyBorder="1" applyAlignment="1">
      <alignment horizontal="left" vertical="center" wrapText="1"/>
    </xf>
    <xf numFmtId="164" fontId="10" fillId="5" borderId="1" xfId="0" applyNumberFormat="1" applyFont="1" applyFill="1" applyBorder="1" applyAlignment="1">
      <alignment horizontal="center" vertical="center"/>
    </xf>
    <xf numFmtId="0" fontId="11" fillId="5" borderId="1" xfId="0" applyFont="1" applyFill="1" applyBorder="1" applyAlignment="1">
      <alignment horizontal="center" vertical="center"/>
    </xf>
    <xf numFmtId="0" fontId="9" fillId="0" borderId="0" xfId="0" applyFont="1"/>
    <xf numFmtId="164" fontId="10" fillId="5" borderId="1" xfId="0" applyNumberFormat="1" applyFont="1" applyFill="1" applyBorder="1" applyAlignment="1">
      <alignment horizontal="center" vertical="center" wrapText="1"/>
    </xf>
    <xf numFmtId="0" fontId="4" fillId="0" borderId="0" xfId="0" applyFont="1" applyAlignment="1">
      <alignment horizontal="left" vertical="center"/>
    </xf>
    <xf numFmtId="164" fontId="4" fillId="0" borderId="0" xfId="0" applyNumberFormat="1" applyFont="1" applyAlignment="1">
      <alignment horizontal="left"/>
    </xf>
    <xf numFmtId="0" fontId="9" fillId="0" borderId="1" xfId="0" applyFont="1" applyBorder="1"/>
    <xf numFmtId="0" fontId="8" fillId="0" borderId="1" xfId="0" applyFont="1" applyBorder="1" applyAlignment="1">
      <alignment horizontal="center" vertical="center"/>
    </xf>
    <xf numFmtId="164" fontId="8" fillId="0" borderId="1" xfId="0" applyNumberFormat="1" applyFont="1" applyBorder="1" applyAlignment="1">
      <alignment horizontal="center" vertical="center"/>
    </xf>
    <xf numFmtId="0" fontId="8" fillId="0" borderId="1" xfId="0" applyFont="1" applyFill="1" applyBorder="1" applyAlignment="1">
      <alignment horizontal="center" vertical="center" wrapText="1"/>
    </xf>
    <xf numFmtId="0" fontId="9" fillId="0" borderId="0" xfId="0" applyFont="1" applyFill="1"/>
    <xf numFmtId="0" fontId="0" fillId="0" borderId="0" xfId="0" applyFill="1"/>
    <xf numFmtId="0" fontId="9"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64" fontId="9"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DCA484"/>
      <color rgb="FFDCA4F7"/>
      <color rgb="FFC979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952499</xdr:colOff>
      <xdr:row>8</xdr:row>
      <xdr:rowOff>161925</xdr:rowOff>
    </xdr:from>
    <xdr:to>
      <xdr:col>13</xdr:col>
      <xdr:colOff>933450</xdr:colOff>
      <xdr:row>21</xdr:row>
      <xdr:rowOff>180975</xdr:rowOff>
    </xdr:to>
    <xdr:sp macro="" textlink="">
      <xdr:nvSpPr>
        <xdr:cNvPr id="2" name="TextBox 1">
          <a:extLst>
            <a:ext uri="{FF2B5EF4-FFF2-40B4-BE49-F238E27FC236}">
              <a16:creationId xmlns:a16="http://schemas.microsoft.com/office/drawing/2014/main" id="{984AC758-F8FF-46BA-95C6-608F26D2587B}"/>
            </a:ext>
          </a:extLst>
        </xdr:cNvPr>
        <xdr:cNvSpPr txBox="1"/>
      </xdr:nvSpPr>
      <xdr:spPr>
        <a:xfrm>
          <a:off x="7515224" y="1943100"/>
          <a:ext cx="8582026" cy="2495550"/>
        </a:xfrm>
        <a:prstGeom prst="rect">
          <a:avLst/>
        </a:prstGeom>
        <a:solidFill>
          <a:schemeClr val="bg1"/>
        </a:solidFill>
        <a:ln w="9525"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Century Schoolbook" panose="02040604050505020304" pitchFamily="18" charset="0"/>
            </a:rPr>
            <a:t>Approved Purpose</a:t>
          </a:r>
          <a:r>
            <a:rPr lang="en-US" sz="1100" b="1" baseline="0">
              <a:latin typeface="Century Schoolbook" panose="02040604050505020304" pitchFamily="18" charset="0"/>
            </a:rPr>
            <a:t> Categories</a:t>
          </a:r>
          <a:endParaRPr lang="en-US" sz="1100" b="0" baseline="0">
            <a:latin typeface="Century Schoolbook" panose="02040604050505020304" pitchFamily="18" charset="0"/>
          </a:endParaRPr>
        </a:p>
        <a:p>
          <a:endParaRPr lang="en-US" sz="1100" b="0" baseline="0">
            <a:latin typeface="Century Schoolbook" panose="02040604050505020304" pitchFamily="18" charset="0"/>
          </a:endParaRPr>
        </a:p>
        <a:p>
          <a:r>
            <a:rPr lang="en-US" sz="1100" b="0" baseline="0">
              <a:latin typeface="Century Schoolbook" panose="02040604050505020304" pitchFamily="18" charset="0"/>
            </a:rPr>
            <a:t>A. Treat opioid use disorder</a:t>
          </a:r>
        </a:p>
        <a:p>
          <a:r>
            <a:rPr lang="en-US" sz="1100" b="0" baseline="0">
              <a:latin typeface="Century Schoolbook" panose="02040604050505020304" pitchFamily="18" charset="0"/>
            </a:rPr>
            <a:t>B. Support people in treatment and recovery</a:t>
          </a:r>
        </a:p>
        <a:p>
          <a:r>
            <a:rPr lang="en-US" sz="1100" b="0" baseline="0">
              <a:latin typeface="Century Schoolbook" panose="02040604050505020304" pitchFamily="18" charset="0"/>
            </a:rPr>
            <a:t>C. Connect people who need help to the help they need (connections to care)</a:t>
          </a:r>
        </a:p>
        <a:p>
          <a:r>
            <a:rPr lang="en-US" sz="1100" b="0" baseline="0">
              <a:latin typeface="Century Schoolbook" panose="02040604050505020304" pitchFamily="18" charset="0"/>
            </a:rPr>
            <a:t>D. Address the needs of crminal-justice-involved persons</a:t>
          </a:r>
        </a:p>
        <a:p>
          <a:r>
            <a:rPr lang="en-US" sz="1100" b="0" baseline="0">
              <a:latin typeface="Century Schoolbook" panose="02040604050505020304" pitchFamily="18" charset="0"/>
            </a:rPr>
            <a:t>E. Address the needs of pregnant or parenting women and their families, including babies with Neonatal Abstinence Syndrome</a:t>
          </a:r>
        </a:p>
        <a:p>
          <a:r>
            <a:rPr lang="en-US" sz="1100" b="0" baseline="0">
              <a:latin typeface="Century Schoolbook" panose="02040604050505020304" pitchFamily="18" charset="0"/>
            </a:rPr>
            <a:t>F. Prevent over-prescribing and ensure appropriate prescribing and dispensing of opioids</a:t>
          </a:r>
        </a:p>
        <a:p>
          <a:r>
            <a:rPr lang="en-US" sz="1100" b="0" baseline="0">
              <a:latin typeface="Century Schoolbook" panose="02040604050505020304" pitchFamily="18" charset="0"/>
            </a:rPr>
            <a:t>G. Prevent misuse of opioids</a:t>
          </a:r>
        </a:p>
        <a:p>
          <a:r>
            <a:rPr lang="en-US" sz="1100" b="0" baseline="0">
              <a:latin typeface="Century Schoolbook" panose="02040604050505020304" pitchFamily="18" charset="0"/>
            </a:rPr>
            <a:t>H. Prevent overdose deaths and other harms</a:t>
          </a:r>
        </a:p>
        <a:p>
          <a:r>
            <a:rPr lang="en-US" sz="1100" b="0" baseline="0">
              <a:latin typeface="Century Schoolbook" panose="02040604050505020304" pitchFamily="18" charset="0"/>
            </a:rPr>
            <a:t>I. First responders</a:t>
          </a:r>
        </a:p>
        <a:p>
          <a:r>
            <a:rPr lang="en-US" sz="1100" b="0" baseline="0">
              <a:latin typeface="Century Schoolbook" panose="02040604050505020304" pitchFamily="18" charset="0"/>
            </a:rPr>
            <a:t>J. Leadership, planning, and coordination</a:t>
          </a:r>
        </a:p>
        <a:p>
          <a:r>
            <a:rPr lang="en-US" sz="1100" b="0" baseline="0">
              <a:latin typeface="Century Schoolbook" panose="02040604050505020304" pitchFamily="18" charset="0"/>
            </a:rPr>
            <a:t>K. Support Training to Abate the Opioid Epidemic Through Activities, Programs, or Strategies</a:t>
          </a:r>
        </a:p>
        <a:p>
          <a:r>
            <a:rPr lang="en-US" sz="1100" b="0" baseline="0">
              <a:latin typeface="Century Schoolbook" panose="02040604050505020304" pitchFamily="18" charset="0"/>
            </a:rPr>
            <a:t>L. Research</a:t>
          </a:r>
        </a:p>
      </xdr:txBody>
    </xdr:sp>
    <xdr:clientData/>
  </xdr:twoCellAnchor>
  <xdr:twoCellAnchor>
    <xdr:from>
      <xdr:col>0</xdr:col>
      <xdr:colOff>47625</xdr:colOff>
      <xdr:row>17</xdr:row>
      <xdr:rowOff>123826</xdr:rowOff>
    </xdr:from>
    <xdr:to>
      <xdr:col>2</xdr:col>
      <xdr:colOff>2143125</xdr:colOff>
      <xdr:row>25</xdr:row>
      <xdr:rowOff>57150</xdr:rowOff>
    </xdr:to>
    <xdr:sp macro="" textlink="">
      <xdr:nvSpPr>
        <xdr:cNvPr id="3" name="TextBox 2">
          <a:extLst>
            <a:ext uri="{FF2B5EF4-FFF2-40B4-BE49-F238E27FC236}">
              <a16:creationId xmlns:a16="http://schemas.microsoft.com/office/drawing/2014/main" id="{F8350D83-32C1-4BC7-8240-FB32D6C534BC}"/>
            </a:ext>
          </a:extLst>
        </xdr:cNvPr>
        <xdr:cNvSpPr txBox="1"/>
      </xdr:nvSpPr>
      <xdr:spPr>
        <a:xfrm>
          <a:off x="47625" y="3619501"/>
          <a:ext cx="4476750" cy="1457324"/>
        </a:xfrm>
        <a:prstGeom prst="rect">
          <a:avLst/>
        </a:prstGeom>
        <a:solidFill>
          <a:srgbClr val="DCA484"/>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US" sz="1100">
              <a:latin typeface="Century Schoolbook" panose="02040604050505020304" pitchFamily="18" charset="0"/>
            </a:rPr>
            <a:t>Please</a:t>
          </a:r>
          <a:r>
            <a:rPr lang="en-US" sz="1100" baseline="0">
              <a:latin typeface="Century Schoolbook" panose="02040604050505020304" pitchFamily="18" charset="0"/>
            </a:rPr>
            <a:t> note that funds may have been received in different fiscal year from when the Attorney General awarded or the legislature appropriated them.  The AG primarily awarded funds to grant recipients in FY2023 and FY2024, however, in FY2024 and FY2025, the legislature appropriated all remaining available funds to the primarily the Arizona Department of Corrections Rehabilitation and Reentry.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9E717-A223-4D63-8AE9-7061E5A9C9D5}">
  <sheetPr>
    <tabColor theme="0" tint="-0.499984740745262"/>
  </sheetPr>
  <dimension ref="A2:T23"/>
  <sheetViews>
    <sheetView workbookViewId="0">
      <selection activeCell="R10" sqref="R10"/>
    </sheetView>
  </sheetViews>
  <sheetFormatPr defaultRowHeight="14.4" x14ac:dyDescent="0.3"/>
  <cols>
    <col min="1" max="1" width="23.44140625" customWidth="1"/>
    <col min="2" max="2" width="12.33203125" customWidth="1"/>
    <col min="3" max="3" width="32.5546875" customWidth="1"/>
    <col min="4" max="4" width="10.109375" customWidth="1"/>
    <col min="5" max="5" width="20" bestFit="1" customWidth="1"/>
    <col min="6" max="8" width="15.6640625" customWidth="1"/>
    <col min="9" max="9" width="19" customWidth="1"/>
    <col min="10" max="17" width="15.6640625" customWidth="1"/>
    <col min="18" max="18" width="20" customWidth="1"/>
    <col min="19" max="19" width="13.88671875" style="5" bestFit="1" customWidth="1"/>
    <col min="20" max="20" width="13.88671875" bestFit="1" customWidth="1"/>
  </cols>
  <sheetData>
    <row r="2" spans="1:20" ht="20.399999999999999" x14ac:dyDescent="0.3">
      <c r="A2" s="54" t="s">
        <v>127</v>
      </c>
      <c r="B2" s="55"/>
      <c r="C2" s="55"/>
      <c r="E2" s="56" t="s">
        <v>130</v>
      </c>
      <c r="F2" s="57"/>
      <c r="G2" s="57"/>
      <c r="H2" s="57"/>
      <c r="I2" s="57"/>
      <c r="J2" s="57"/>
      <c r="K2" s="57"/>
      <c r="L2" s="57"/>
      <c r="M2" s="57"/>
      <c r="N2" s="57"/>
      <c r="O2" s="57"/>
      <c r="P2" s="57"/>
      <c r="Q2" s="57"/>
      <c r="R2" s="57"/>
    </row>
    <row r="3" spans="1:20" ht="15.6" x14ac:dyDescent="0.3">
      <c r="A3" s="58" t="s">
        <v>120</v>
      </c>
      <c r="B3" s="59"/>
      <c r="C3" s="59"/>
      <c r="E3" s="52" t="s">
        <v>120</v>
      </c>
      <c r="F3" s="53"/>
      <c r="G3" s="53"/>
      <c r="H3" s="53"/>
      <c r="I3" s="53"/>
      <c r="J3" s="53"/>
      <c r="K3" s="53"/>
      <c r="L3" s="53"/>
      <c r="M3" s="53"/>
      <c r="N3" s="53"/>
      <c r="O3" s="53"/>
      <c r="P3" s="53"/>
      <c r="Q3" s="53"/>
      <c r="R3" s="53"/>
      <c r="S3"/>
    </row>
    <row r="4" spans="1:20" ht="27.6" x14ac:dyDescent="0.3">
      <c r="A4" s="22" t="s">
        <v>0</v>
      </c>
      <c r="B4" s="22" t="s">
        <v>113</v>
      </c>
      <c r="C4" s="22" t="s">
        <v>12</v>
      </c>
      <c r="E4" s="39"/>
      <c r="F4" s="22" t="s">
        <v>106</v>
      </c>
      <c r="G4" s="22" t="s">
        <v>107</v>
      </c>
      <c r="H4" s="22" t="s">
        <v>108</v>
      </c>
      <c r="I4" s="22" t="s">
        <v>109</v>
      </c>
      <c r="J4" s="22" t="s">
        <v>110</v>
      </c>
      <c r="K4" s="22" t="s">
        <v>111</v>
      </c>
      <c r="L4" s="22" t="s">
        <v>147</v>
      </c>
      <c r="M4" s="22" t="s">
        <v>148</v>
      </c>
      <c r="N4" s="22" t="s">
        <v>149</v>
      </c>
      <c r="O4" s="22" t="s">
        <v>112</v>
      </c>
      <c r="P4" s="22" t="s">
        <v>150</v>
      </c>
      <c r="Q4" s="22" t="s">
        <v>151</v>
      </c>
      <c r="R4" s="22" t="s">
        <v>13</v>
      </c>
      <c r="S4"/>
    </row>
    <row r="5" spans="1:20" x14ac:dyDescent="0.3">
      <c r="A5" s="17" t="s">
        <v>3</v>
      </c>
      <c r="B5" s="28">
        <f>COUNTIF('Settlement Funds Received'!A:A, Summary!A5)</f>
        <v>2</v>
      </c>
      <c r="C5" s="29">
        <f>SUMIF('Settlement Funds Received'!A:A, Summary!A5, 'Settlement Funds Received'!D:D)</f>
        <v>6477714.1600000001</v>
      </c>
      <c r="E5" s="40" t="s">
        <v>131</v>
      </c>
      <c r="F5" s="29">
        <f>SUMIFS('Settlement Fund Expenditures'!F:F,'Settlement Fund Expenditures'!I:I,"FY2023",'Settlement Fund Expenditures'!E:E,"A. Treat Opioid Use Disorder")</f>
        <v>990970.35</v>
      </c>
      <c r="G5" s="29">
        <f>SUMIFS('Settlement Fund Expenditures'!F:F,'Settlement Fund Expenditures'!I:I,"FY2023",'Settlement Fund Expenditures'!E:E,"B. Support People in Treatment and Recovery ")</f>
        <v>1519028.9</v>
      </c>
      <c r="H5" s="29">
        <f>SUMIFS('Settlement Fund Expenditures'!F:F,'Settlement Fund Expenditures'!I:I,"FY2023",'Settlement Fund Expenditures'!E:E,"C. Connect People Who Need Help to the Help They Need (Connections to Care)")</f>
        <v>229100</v>
      </c>
      <c r="I5" s="29">
        <f>SUMIFS('Settlement Fund Expenditures'!F:F,'Settlement Fund Expenditures'!I:I,"FY2023",'Settlement Fund Expenditures'!E:E,"D. Address the Needs of Criminal- Justice- Involved Persons")</f>
        <v>95840.8</v>
      </c>
      <c r="J5" s="29">
        <f>SUMIFS('Settlement Fund Expenditures'!F:F,'Settlement Fund Expenditures'!I:I,"FY2023",'Settlement Fund Expenditures'!E:E,"E. Address the Needs of Pregnant or Parenting Women and their Families, Including Babies with Neonatal Abstinence Syndrome")</f>
        <v>499999.95</v>
      </c>
      <c r="K5" s="29">
        <f>SUMIFS('Settlement Fund Expenditures'!F:F,'Settlement Fund Expenditures'!I:I,"FY2023",'Settlement Fund Expenditures'!E:E,"G. Discourage or Prevent Misuse of Opioids")</f>
        <v>1600558</v>
      </c>
      <c r="L5" s="29">
        <f>SUMIFS('Settlement Fund Expenditures'!F:F,'Settlement Fund Expenditures'!I:I,"FY2023",'Settlement Fund Expenditures'!E:E,"H. Prevent overdose deaths and other harms")</f>
        <v>0</v>
      </c>
      <c r="M5" s="29">
        <f>SUMIFS('Settlement Fund Expenditures'!F:F,'Settlement Fund Expenditures'!I:I,"FY2023",'Settlement Fund Expenditures'!E:E,"I. First responders")</f>
        <v>0</v>
      </c>
      <c r="N5" s="29">
        <f>SUMIFS('Settlement Fund Expenditures'!F:F,'Settlement Fund Expenditures'!I:I,"FY2023",'Settlement Fund Expenditures'!E:E,"J. Leadership, planning, and coordination")</f>
        <v>0</v>
      </c>
      <c r="O5" s="29">
        <f>SUMIFS('Settlement Fund Expenditures'!F:F,'Settlement Fund Expenditures'!I:I,"FY2023",'Settlement Fund Expenditures'!E:E,"K. Support Training to Abate the Opioid Epidemic Through Activities, Programs, or Strategies")</f>
        <v>64502</v>
      </c>
      <c r="P5" s="29">
        <f>SUMIFS('Settlement Fund Expenditures'!F:F,'Settlement Fund Expenditures'!I:I,"FY2023",'Settlement Fund Expenditures'!E:E,"L. Research")</f>
        <v>0</v>
      </c>
      <c r="Q5" s="29">
        <f>SUMIFS('Settlement Fund Expenditures'!F:F,'Settlement Fund Expenditures'!I:I,"FY2023",'Settlement Fund Expenditures'!E:E,"No spending reported")</f>
        <v>0</v>
      </c>
      <c r="R5" s="41">
        <f>SUM(F5:Q5)</f>
        <v>5000000</v>
      </c>
      <c r="S5"/>
    </row>
    <row r="6" spans="1:20" x14ac:dyDescent="0.3">
      <c r="A6" s="17" t="s">
        <v>4</v>
      </c>
      <c r="B6" s="28">
        <f>COUNTIF('Settlement Funds Received'!A:A, Summary!A6)</f>
        <v>2</v>
      </c>
      <c r="C6" s="29">
        <f>SUMIF('Settlement Funds Received'!A:A, Summary!A6, 'Settlement Funds Received'!D:D)</f>
        <v>6462795.2000000002</v>
      </c>
      <c r="E6" s="40" t="s">
        <v>128</v>
      </c>
      <c r="F6" s="29">
        <f>SUMIFS('Settlement Fund Expenditures'!F:F,'Settlement Fund Expenditures'!I:I,"2024",'Settlement Fund Expenditures'!E:E,"A. Treat Opioid Use Disorder")</f>
        <v>0</v>
      </c>
      <c r="G6" s="29">
        <f>SUMIFS('Settlement Fund Expenditures'!F:F,'Settlement Fund Expenditures'!I:I,"2024",'Settlement Fund Expenditures'!E:E,"B. Support People in Treatment and Recovery ")</f>
        <v>0</v>
      </c>
      <c r="H6" s="29">
        <f>SUMIFS('Settlement Fund Expenditures'!F:F,'Settlement Fund Expenditures'!I:I,"2024",'Settlement Fund Expenditures'!E:E,"C. Connect People Who Need Help to the Help They Need (Connections to Care)")</f>
        <v>499999.99000000011</v>
      </c>
      <c r="I6" s="29">
        <f>SUMIFS('Settlement Fund Expenditures'!F:F,'Settlement Fund Expenditures'!I:I,"2024",'Settlement Fund Expenditures'!E:E,"D. Address the Needs of Criminal- Justice- Involved Persons")</f>
        <v>86499999.969999999</v>
      </c>
      <c r="J6" s="29">
        <f>SUMIFS('Settlement Fund Expenditures'!F:F,'Settlement Fund Expenditures'!I:I,"2024",'Settlement Fund Expenditures'!E:E,"E. Address the Needs of Pregnant or Parenting Women and their Families, Including Babies with Neonatal Abstinence Syndrome")</f>
        <v>0</v>
      </c>
      <c r="K6" s="29">
        <f>SUMIFS('Settlement Fund Expenditures'!F:F,'Settlement Fund Expenditures'!I:I,"2024",'Settlement Fund Expenditures'!E:E,"G. Discourage or Prevent Misuse of Opioids")</f>
        <v>0</v>
      </c>
      <c r="L6" s="29">
        <f>SUMIFS('Settlement Fund Expenditures'!F:F,'Settlement Fund Expenditures'!I:I,"2024",'Settlement Fund Expenditures'!E:E,"H. Prevent overdose deaths and other harms")</f>
        <v>0</v>
      </c>
      <c r="M6" s="29">
        <f>SUMIFS('Settlement Fund Expenditures'!F:F,'Settlement Fund Expenditures'!I:I,"2024",'Settlement Fund Expenditures'!E:E,"I. First responders")</f>
        <v>0</v>
      </c>
      <c r="N6" s="29">
        <f>SUMIFS('Settlement Fund Expenditures'!F:F,'Settlement Fund Expenditures'!I:I,"2024",'Settlement Fund Expenditures'!E:E,"J. Leadership, planning, and coordination")</f>
        <v>0</v>
      </c>
      <c r="O6" s="29">
        <f>SUMIFS('Settlement Fund Expenditures'!F:F,'Settlement Fund Expenditures'!I:I,"2024",'Settlement Fund Expenditures'!E:E,"K. Support Training to Abate the Opioid Epidemic Through Activities, Programs, or Strategies")</f>
        <v>0</v>
      </c>
      <c r="P6" s="29">
        <f>SUMIFS('Settlement Fund Expenditures'!F:F,'Settlement Fund Expenditures'!I:I,"2024",'Settlement Fund Expenditures'!E:E,"L. Research")</f>
        <v>0</v>
      </c>
      <c r="Q6" s="29">
        <f>SUMIFS('Settlement Fund Expenditures'!F:F,'Settlement Fund Expenditures'!I:I,"2024",'Settlement Fund Expenditures'!E:E,"No spending reported")</f>
        <v>0</v>
      </c>
      <c r="R6" s="41">
        <f t="shared" ref="R6:R7" si="0">SUM(F6:Q6)</f>
        <v>86999999.959999993</v>
      </c>
      <c r="S6"/>
    </row>
    <row r="7" spans="1:20" x14ac:dyDescent="0.3">
      <c r="A7" s="17" t="s">
        <v>5</v>
      </c>
      <c r="B7" s="28">
        <f>COUNTIF('Settlement Funds Received'!A:A, Summary!A7)</f>
        <v>5</v>
      </c>
      <c r="C7" s="29">
        <f>SUMIF('Settlement Funds Received'!A:A, Summary!A7, 'Settlement Funds Received'!D:D)</f>
        <v>45925045.030000001</v>
      </c>
      <c r="E7" s="40" t="s">
        <v>146</v>
      </c>
      <c r="F7" s="29">
        <f>SUMIFS('Settlement Fund Expenditures'!F:F,'Settlement Fund Expenditures'!I:I,"FY2025",'Settlement Fund Expenditures'!E:E,"A. Treat Opioid Use Disorder")</f>
        <v>0</v>
      </c>
      <c r="G7" s="29">
        <f>SUMIFS('Settlement Fund Expenditures'!F:F,'Settlement Fund Expenditures'!I:I,"FY2025",'Settlement Fund Expenditures'!E:E,"B. Support People in Treatment and Recovery ")</f>
        <v>0</v>
      </c>
      <c r="H7" s="29">
        <f>SUMIFS('Settlement Fund Expenditures'!F:F,'Settlement Fund Expenditures'!I:I,"FY2025",'Settlement Fund Expenditures'!E:E,"C. Connect People Who Need Help to the Help They Need (Connections to Care)")</f>
        <v>0</v>
      </c>
      <c r="I7" s="29">
        <f>SUMIFS('Settlement Fund Expenditures'!F:F,'Settlement Fund Expenditures'!I:I,"FY2025",'Settlement Fund Expenditures'!E:E,"D. Address the Needs of Criminal- Justice- Involved Persons")</f>
        <v>40000000</v>
      </c>
      <c r="J7" s="29">
        <f>SUMIFS('Settlement Fund Expenditures'!F:F,'Settlement Fund Expenditures'!I:I,"FY2025",'Settlement Fund Expenditures'!E:E,"E. Address the Needs of Pregnant or Parenting Women and their Families, Including Babies with Neonatal Abstinence Syndrome")</f>
        <v>0</v>
      </c>
      <c r="K7" s="29">
        <f>SUMIFS('Settlement Fund Expenditures'!F:F,'Settlement Fund Expenditures'!I:I,"FY2025",'Settlement Fund Expenditures'!E:E,"G. Discourage or Prevent Misuse of Opioids")</f>
        <v>0</v>
      </c>
      <c r="L7" s="29">
        <f>SUMIFS('Settlement Fund Expenditures'!F:F,'Settlement Fund Expenditures'!I:I,"FY2025",'Settlement Fund Expenditures'!E:E,"H. Prevent overdose deaths and other harms")</f>
        <v>0</v>
      </c>
      <c r="M7" s="29">
        <f>SUMIFS('Settlement Fund Expenditures'!F:F,'Settlement Fund Expenditures'!I:I,"FY2025",'Settlement Fund Expenditures'!E:E,"I. First responders")</f>
        <v>1000000</v>
      </c>
      <c r="N7" s="29">
        <f>SUMIFS('Settlement Fund Expenditures'!F:F,'Settlement Fund Expenditures'!I:I,"FY2025",'Settlement Fund Expenditures'!E:E,"J. Leadership, planning, and coordination")</f>
        <v>0</v>
      </c>
      <c r="O7" s="29">
        <f>SUMIFS('Settlement Fund Expenditures'!F:F,'Settlement Fund Expenditures'!I:I,"FY2025",'Settlement Fund Expenditures'!E:E,"K. Support Training to Abate the Opioid Epidemic Through Activities, Programs, or Strategies")</f>
        <v>0</v>
      </c>
      <c r="P7" s="29">
        <f>SUMIFS('Settlement Fund Expenditures'!F:F,'Settlement Fund Expenditures'!I:I,"FY2025",'Settlement Fund Expenditures'!E:E,"L. Research")</f>
        <v>0</v>
      </c>
      <c r="Q7" s="29">
        <f>SUMIFS('Settlement Fund Expenditures'!F:F,'Settlement Fund Expenditures'!I:I,"FY2025",'Settlement Fund Expenditures'!E:E,"No spending reported")</f>
        <v>3000000</v>
      </c>
      <c r="R7" s="41">
        <f t="shared" si="0"/>
        <v>44000000</v>
      </c>
      <c r="S7"/>
    </row>
    <row r="8" spans="1:20" x14ac:dyDescent="0.3">
      <c r="A8" s="17" t="s">
        <v>139</v>
      </c>
      <c r="B8" s="28">
        <f>COUNTIF('Settlement Funds Received'!A:A, Summary!A8)</f>
        <v>1</v>
      </c>
      <c r="C8" s="29">
        <f>SUMIF('Settlement Funds Received'!A:A, Summary!A8, 'Settlement Funds Received'!D:D)</f>
        <v>3292738.24</v>
      </c>
      <c r="E8" s="30" t="s">
        <v>126</v>
      </c>
      <c r="F8" s="36">
        <f>SUM(F5:F7)</f>
        <v>990970.35</v>
      </c>
      <c r="G8" s="36">
        <f t="shared" ref="G8:Q8" si="1">SUM(G5:G7)</f>
        <v>1519028.9</v>
      </c>
      <c r="H8" s="36">
        <f t="shared" si="1"/>
        <v>729099.99000000011</v>
      </c>
      <c r="I8" s="36">
        <f t="shared" si="1"/>
        <v>126595840.77</v>
      </c>
      <c r="J8" s="36">
        <f t="shared" si="1"/>
        <v>499999.95</v>
      </c>
      <c r="K8" s="36">
        <f t="shared" si="1"/>
        <v>1600558</v>
      </c>
      <c r="L8" s="36">
        <f t="shared" si="1"/>
        <v>0</v>
      </c>
      <c r="M8" s="36">
        <f t="shared" si="1"/>
        <v>1000000</v>
      </c>
      <c r="N8" s="36">
        <f t="shared" si="1"/>
        <v>0</v>
      </c>
      <c r="O8" s="36">
        <f t="shared" si="1"/>
        <v>64502</v>
      </c>
      <c r="P8" s="36">
        <f t="shared" si="1"/>
        <v>0</v>
      </c>
      <c r="Q8" s="36">
        <f t="shared" si="1"/>
        <v>3000000</v>
      </c>
      <c r="R8" s="36">
        <f>SUM(R5:R7)</f>
        <v>135999999.95999998</v>
      </c>
      <c r="S8"/>
    </row>
    <row r="9" spans="1:20" x14ac:dyDescent="0.3">
      <c r="A9" s="17" t="s">
        <v>11</v>
      </c>
      <c r="B9" s="28">
        <f>COUNTIF('Settlement Funds Received'!A:A, Summary!A9)</f>
        <v>5</v>
      </c>
      <c r="C9" s="29">
        <f>SUMIF('Settlement Funds Received'!A:A, Summary!A9, 'Settlement Funds Received'!D:D)</f>
        <v>34040286.920000002</v>
      </c>
      <c r="S9"/>
    </row>
    <row r="10" spans="1:20" x14ac:dyDescent="0.3">
      <c r="A10" s="17" t="s">
        <v>142</v>
      </c>
      <c r="B10" s="28">
        <f>COUNTIF('Settlement Funds Received'!A:A, Summary!A10)</f>
        <v>1</v>
      </c>
      <c r="C10" s="29">
        <f>SUMIF('Settlement Funds Received'!A:A, Summary!A10, 'Settlement Funds Received'!D:D)</f>
        <v>5483761.8200000003</v>
      </c>
      <c r="S10"/>
    </row>
    <row r="11" spans="1:20" x14ac:dyDescent="0.3">
      <c r="A11" s="17" t="s">
        <v>6</v>
      </c>
      <c r="B11" s="28">
        <f>COUNTIF('Settlement Funds Received'!A:A, Summary!A11)</f>
        <v>2</v>
      </c>
      <c r="C11" s="29">
        <f>SUMIF('Settlement Funds Received'!A:A, Summary!A11, 'Settlement Funds Received'!D:D)</f>
        <v>3480721.7800000003</v>
      </c>
      <c r="S11"/>
    </row>
    <row r="12" spans="1:20" x14ac:dyDescent="0.3">
      <c r="A12" s="17" t="s">
        <v>140</v>
      </c>
      <c r="B12" s="28">
        <f>COUNTIF('Settlement Funds Received'!A:A, Summary!A12)</f>
        <v>2</v>
      </c>
      <c r="C12" s="29">
        <f>SUMIF('Settlement Funds Received'!A:A, Summary!A12, 'Settlement Funds Received'!D:D)</f>
        <v>402299.62</v>
      </c>
    </row>
    <row r="13" spans="1:20" x14ac:dyDescent="0.3">
      <c r="A13" s="17" t="s">
        <v>141</v>
      </c>
      <c r="B13" s="28">
        <f>COUNTIF('Settlement Funds Received'!A:A, Summary!A13)</f>
        <v>1</v>
      </c>
      <c r="C13" s="29">
        <f>SUMIF('Settlement Funds Received'!A:A, Summary!A13, 'Settlement Funds Received'!D:D)</f>
        <v>94578.74</v>
      </c>
    </row>
    <row r="14" spans="1:20" x14ac:dyDescent="0.3">
      <c r="A14" s="17" t="s">
        <v>7</v>
      </c>
      <c r="B14" s="28">
        <f>COUNTIF('Settlement Funds Received'!A:A, Summary!A14)</f>
        <v>2</v>
      </c>
      <c r="C14" s="29">
        <f>SUMIF('Settlement Funds Received'!A:A, Summary!A14, 'Settlement Funds Received'!D:D)</f>
        <v>5870159.3200000003</v>
      </c>
      <c r="S14" s="10"/>
      <c r="T14" s="10"/>
    </row>
    <row r="15" spans="1:20" x14ac:dyDescent="0.3">
      <c r="A15" s="17" t="s">
        <v>8</v>
      </c>
      <c r="B15" s="28">
        <f>COUNTIF('Settlement Funds Received'!A:A, Summary!A15)</f>
        <v>3</v>
      </c>
      <c r="C15" s="29">
        <f>SUMIF('Settlement Funds Received'!A:A, Summary!A15, 'Settlement Funds Received'!D:D)</f>
        <v>9741697.6400000006</v>
      </c>
      <c r="S15" s="11"/>
      <c r="T15" s="12"/>
    </row>
    <row r="16" spans="1:20" x14ac:dyDescent="0.3">
      <c r="A16" s="17" t="s">
        <v>9</v>
      </c>
      <c r="B16" s="28">
        <f>COUNTIF('Settlement Funds Received'!A:A, Summary!A16)</f>
        <v>1</v>
      </c>
      <c r="C16" s="29">
        <f>SUMIF('Settlement Funds Received'!A:A, Summary!A16, 'Settlement Funds Received'!D:D)</f>
        <v>27407618.989999998</v>
      </c>
      <c r="S16" s="10"/>
      <c r="T16" s="13"/>
    </row>
    <row r="17" spans="1:20" x14ac:dyDescent="0.3">
      <c r="A17" s="30" t="s">
        <v>126</v>
      </c>
      <c r="B17" s="30">
        <f>SUM(B5:B16)</f>
        <v>27</v>
      </c>
      <c r="C17" s="36">
        <f>SUM(C5:C16)</f>
        <v>148679417.46000001</v>
      </c>
      <c r="S17" s="10"/>
      <c r="T17" s="13"/>
    </row>
    <row r="18" spans="1:20" x14ac:dyDescent="0.3">
      <c r="S18" s="10"/>
      <c r="T18" s="13"/>
    </row>
    <row r="19" spans="1:20" x14ac:dyDescent="0.3">
      <c r="S19" s="10"/>
      <c r="T19" s="13"/>
    </row>
    <row r="20" spans="1:20" x14ac:dyDescent="0.3">
      <c r="S20" s="10"/>
      <c r="T20" s="13"/>
    </row>
    <row r="21" spans="1:20" x14ac:dyDescent="0.3">
      <c r="S21" s="10"/>
      <c r="T21" s="37"/>
    </row>
    <row r="22" spans="1:20" x14ac:dyDescent="0.3">
      <c r="S22" s="11"/>
      <c r="T22" s="38"/>
    </row>
    <row r="23" spans="1:20" x14ac:dyDescent="0.3">
      <c r="S23" s="11"/>
      <c r="T23" s="38"/>
    </row>
  </sheetData>
  <mergeCells count="4">
    <mergeCell ref="E3:R3"/>
    <mergeCell ref="A2:C2"/>
    <mergeCell ref="E2:R2"/>
    <mergeCell ref="A3:C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BDD5C-B6DF-4648-BC3F-78962971C69B}">
  <dimension ref="A1:D31"/>
  <sheetViews>
    <sheetView workbookViewId="0">
      <pane ySplit="3" topLeftCell="A4" activePane="bottomLeft" state="frozen"/>
      <selection pane="bottomLeft" activeCell="D22" sqref="D22"/>
    </sheetView>
  </sheetViews>
  <sheetFormatPr defaultRowHeight="14.4" x14ac:dyDescent="0.3"/>
  <cols>
    <col min="1" max="1" width="18.88671875" style="4" customWidth="1"/>
    <col min="2" max="2" width="21.109375" style="2" customWidth="1"/>
    <col min="3" max="3" width="22.88671875" style="1" customWidth="1"/>
    <col min="4" max="4" width="25.6640625" style="3" customWidth="1"/>
  </cols>
  <sheetData>
    <row r="1" spans="1:4" ht="20.399999999999999" x14ac:dyDescent="0.3">
      <c r="A1" s="54" t="s">
        <v>144</v>
      </c>
      <c r="B1" s="55"/>
      <c r="C1" s="55"/>
      <c r="D1" s="55"/>
    </row>
    <row r="2" spans="1:4" ht="15.6" x14ac:dyDescent="0.3">
      <c r="A2" s="58" t="s">
        <v>120</v>
      </c>
      <c r="B2" s="59"/>
      <c r="C2" s="59"/>
      <c r="D2" s="59"/>
    </row>
    <row r="3" spans="1:4" x14ac:dyDescent="0.3">
      <c r="A3" s="14" t="s">
        <v>0</v>
      </c>
      <c r="B3" s="15" t="s">
        <v>14</v>
      </c>
      <c r="C3" s="14" t="s">
        <v>2</v>
      </c>
      <c r="D3" s="16" t="s">
        <v>1</v>
      </c>
    </row>
    <row r="4" spans="1:4" x14ac:dyDescent="0.3">
      <c r="A4" s="17" t="s">
        <v>3</v>
      </c>
      <c r="B4" s="18">
        <v>45366</v>
      </c>
      <c r="C4" s="19" t="s">
        <v>10</v>
      </c>
      <c r="D4" s="20">
        <v>3224120.3000000003</v>
      </c>
    </row>
    <row r="5" spans="1:4" x14ac:dyDescent="0.3">
      <c r="A5" s="42" t="s">
        <v>3</v>
      </c>
      <c r="B5" s="48">
        <v>45504</v>
      </c>
      <c r="C5" s="45" t="s">
        <v>10</v>
      </c>
      <c r="D5" s="49">
        <v>3253593.86</v>
      </c>
    </row>
    <row r="6" spans="1:4" x14ac:dyDescent="0.3">
      <c r="A6" s="42" t="s">
        <v>4</v>
      </c>
      <c r="B6" s="48">
        <v>44868</v>
      </c>
      <c r="C6" s="45" t="s">
        <v>10</v>
      </c>
      <c r="D6" s="47">
        <v>3590286.77</v>
      </c>
    </row>
    <row r="7" spans="1:4" x14ac:dyDescent="0.3">
      <c r="A7" s="42" t="s">
        <v>4</v>
      </c>
      <c r="B7" s="48">
        <v>45504</v>
      </c>
      <c r="C7" s="45" t="s">
        <v>10</v>
      </c>
      <c r="D7" s="49">
        <v>2872508.43</v>
      </c>
    </row>
    <row r="8" spans="1:4" x14ac:dyDescent="0.3">
      <c r="A8" s="42" t="s">
        <v>5</v>
      </c>
      <c r="B8" s="48">
        <v>44804</v>
      </c>
      <c r="C8" s="45" t="s">
        <v>10</v>
      </c>
      <c r="D8" s="47">
        <v>9320618.2899999991</v>
      </c>
    </row>
    <row r="9" spans="1:4" x14ac:dyDescent="0.3">
      <c r="A9" s="42" t="s">
        <v>5</v>
      </c>
      <c r="B9" s="48">
        <v>44868</v>
      </c>
      <c r="C9" s="45" t="s">
        <v>10</v>
      </c>
      <c r="D9" s="47">
        <v>10519547.41</v>
      </c>
    </row>
    <row r="10" spans="1:4" x14ac:dyDescent="0.3">
      <c r="A10" s="42" t="s">
        <v>5</v>
      </c>
      <c r="B10" s="48">
        <v>45139</v>
      </c>
      <c r="C10" s="45" t="s">
        <v>10</v>
      </c>
      <c r="D10" s="47">
        <v>10390080.050000001</v>
      </c>
    </row>
    <row r="11" spans="1:4" x14ac:dyDescent="0.3">
      <c r="A11" s="42" t="s">
        <v>5</v>
      </c>
      <c r="B11" s="48">
        <v>45383</v>
      </c>
      <c r="C11" s="45" t="s">
        <v>10</v>
      </c>
      <c r="D11" s="47">
        <v>4796749.95</v>
      </c>
    </row>
    <row r="12" spans="1:4" x14ac:dyDescent="0.3">
      <c r="A12" s="42" t="s">
        <v>5</v>
      </c>
      <c r="B12" s="48">
        <v>45504</v>
      </c>
      <c r="C12" s="45" t="s">
        <v>10</v>
      </c>
      <c r="D12" s="49">
        <v>10898049.33</v>
      </c>
    </row>
    <row r="13" spans="1:4" x14ac:dyDescent="0.3">
      <c r="A13" s="42" t="s">
        <v>139</v>
      </c>
      <c r="B13" s="48">
        <v>45575</v>
      </c>
      <c r="C13" s="45" t="s">
        <v>143</v>
      </c>
      <c r="D13" s="47">
        <v>3292738.24</v>
      </c>
    </row>
    <row r="14" spans="1:4" x14ac:dyDescent="0.3">
      <c r="A14" s="42" t="s">
        <v>11</v>
      </c>
      <c r="B14" s="48">
        <v>44910</v>
      </c>
      <c r="C14" s="45" t="s">
        <v>10</v>
      </c>
      <c r="D14" s="47">
        <v>3148838.59</v>
      </c>
    </row>
    <row r="15" spans="1:4" x14ac:dyDescent="0.3">
      <c r="A15" s="42" t="s">
        <v>11</v>
      </c>
      <c r="B15" s="48">
        <v>44910</v>
      </c>
      <c r="C15" s="45" t="s">
        <v>10</v>
      </c>
      <c r="D15" s="47">
        <v>6881173.8799999999</v>
      </c>
    </row>
    <row r="16" spans="1:4" x14ac:dyDescent="0.3">
      <c r="A16" s="42" t="s">
        <v>11</v>
      </c>
      <c r="B16" s="48">
        <v>45093</v>
      </c>
      <c r="C16" s="45" t="s">
        <v>10</v>
      </c>
      <c r="D16" s="47">
        <v>5856432.8899999997</v>
      </c>
    </row>
    <row r="17" spans="1:4" x14ac:dyDescent="0.3">
      <c r="A17" s="42" t="s">
        <v>11</v>
      </c>
      <c r="B17" s="48">
        <v>45460</v>
      </c>
      <c r="C17" s="45" t="s">
        <v>10</v>
      </c>
      <c r="D17" s="47">
        <v>8780586</v>
      </c>
    </row>
    <row r="18" spans="1:4" x14ac:dyDescent="0.3">
      <c r="A18" s="42" t="s">
        <v>11</v>
      </c>
      <c r="B18" s="48">
        <v>45824</v>
      </c>
      <c r="C18" s="45" t="s">
        <v>143</v>
      </c>
      <c r="D18" s="49">
        <v>9373255.5600000005</v>
      </c>
    </row>
    <row r="19" spans="1:4" x14ac:dyDescent="0.3">
      <c r="A19" s="42" t="s">
        <v>142</v>
      </c>
      <c r="B19" s="48">
        <v>45807</v>
      </c>
      <c r="C19" s="45" t="s">
        <v>143</v>
      </c>
      <c r="D19" s="47">
        <v>5483761.8200000003</v>
      </c>
    </row>
    <row r="20" spans="1:4" x14ac:dyDescent="0.3">
      <c r="A20" s="42" t="s">
        <v>6</v>
      </c>
      <c r="B20" s="48">
        <v>45043</v>
      </c>
      <c r="C20" s="45" t="s">
        <v>10</v>
      </c>
      <c r="D20" s="47">
        <v>1599250.55</v>
      </c>
    </row>
    <row r="21" spans="1:4" x14ac:dyDescent="0.3">
      <c r="A21" s="42" t="s">
        <v>6</v>
      </c>
      <c r="B21" s="48">
        <v>45240</v>
      </c>
      <c r="C21" s="45" t="s">
        <v>10</v>
      </c>
      <c r="D21" s="47">
        <v>1881471.23</v>
      </c>
    </row>
    <row r="22" spans="1:4" x14ac:dyDescent="0.3">
      <c r="A22" s="42" t="s">
        <v>140</v>
      </c>
      <c r="B22" s="48">
        <v>45380</v>
      </c>
      <c r="C22" s="45" t="s">
        <v>10</v>
      </c>
      <c r="D22" s="47">
        <v>75058.789999999994</v>
      </c>
    </row>
    <row r="23" spans="1:4" x14ac:dyDescent="0.3">
      <c r="A23" s="42" t="s">
        <v>140</v>
      </c>
      <c r="B23" s="50">
        <v>45575</v>
      </c>
      <c r="C23" s="45" t="s">
        <v>143</v>
      </c>
      <c r="D23" s="51">
        <v>327240.83</v>
      </c>
    </row>
    <row r="24" spans="1:4" x14ac:dyDescent="0.3">
      <c r="A24" s="42" t="s">
        <v>141</v>
      </c>
      <c r="B24" s="48">
        <v>45776</v>
      </c>
      <c r="C24" s="45" t="s">
        <v>143</v>
      </c>
      <c r="D24" s="47">
        <v>94578.74</v>
      </c>
    </row>
    <row r="25" spans="1:4" x14ac:dyDescent="0.3">
      <c r="A25" s="42" t="s">
        <v>7</v>
      </c>
      <c r="B25" s="48">
        <v>45366</v>
      </c>
      <c r="C25" s="45" t="s">
        <v>10</v>
      </c>
      <c r="D25" s="47">
        <v>2909444.0900000003</v>
      </c>
    </row>
    <row r="26" spans="1:4" x14ac:dyDescent="0.3">
      <c r="A26" s="42" t="s">
        <v>7</v>
      </c>
      <c r="B26" s="48">
        <v>45504</v>
      </c>
      <c r="C26" s="45" t="s">
        <v>10</v>
      </c>
      <c r="D26" s="49">
        <v>2960715.23</v>
      </c>
    </row>
    <row r="27" spans="1:4" x14ac:dyDescent="0.3">
      <c r="A27" s="42" t="s">
        <v>8</v>
      </c>
      <c r="B27" s="48">
        <v>45366</v>
      </c>
      <c r="C27" s="45" t="s">
        <v>10</v>
      </c>
      <c r="D27" s="47">
        <v>4153496.74</v>
      </c>
    </row>
    <row r="28" spans="1:4" x14ac:dyDescent="0.3">
      <c r="A28" s="42" t="s">
        <v>8</v>
      </c>
      <c r="B28" s="48">
        <v>45366</v>
      </c>
      <c r="C28" s="45" t="s">
        <v>10</v>
      </c>
      <c r="D28" s="47">
        <v>2794100.45</v>
      </c>
    </row>
    <row r="29" spans="1:4" x14ac:dyDescent="0.3">
      <c r="A29" s="42" t="s">
        <v>8</v>
      </c>
      <c r="B29" s="48">
        <v>45762</v>
      </c>
      <c r="C29" s="45" t="s">
        <v>143</v>
      </c>
      <c r="D29" s="47">
        <v>2794100.45</v>
      </c>
    </row>
    <row r="30" spans="1:4" x14ac:dyDescent="0.3">
      <c r="A30" s="42" t="s">
        <v>9</v>
      </c>
      <c r="B30" s="48">
        <v>45366</v>
      </c>
      <c r="C30" s="45" t="s">
        <v>10</v>
      </c>
      <c r="D30" s="47">
        <v>27407618.989999998</v>
      </c>
    </row>
    <row r="31" spans="1:4" x14ac:dyDescent="0.3">
      <c r="A31" s="30" t="s">
        <v>126</v>
      </c>
      <c r="B31" s="30"/>
      <c r="C31" s="36"/>
      <c r="D31" s="25">
        <f>SUM(D4:D30)</f>
        <v>148679417.46000001</v>
      </c>
    </row>
  </sheetData>
  <autoFilter ref="A3:D19" xr:uid="{AD8F2720-7322-4643-A3E8-20D18BBD49F3}">
    <sortState ref="C4:F19">
      <sortCondition ref="C3:C19"/>
    </sortState>
  </autoFilter>
  <sortState ref="A4:D30">
    <sortCondition ref="A4:A30"/>
    <sortCondition ref="B4:B30"/>
  </sortState>
  <mergeCells count="2">
    <mergeCell ref="A1:D1"/>
    <mergeCell ref="A2:D2"/>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4A7AD-0296-44B6-AEB6-B4EDB7FE935B}">
  <dimension ref="A1:J47"/>
  <sheetViews>
    <sheetView tabSelected="1" workbookViewId="0">
      <pane xSplit="1" ySplit="3" topLeftCell="B34" activePane="bottomRight" state="frozen"/>
      <selection pane="topRight" activeCell="B1" sqref="B1"/>
      <selection pane="bottomLeft" activeCell="A4" sqref="A4"/>
      <selection pane="bottomRight" activeCell="E46" sqref="E46"/>
    </sheetView>
  </sheetViews>
  <sheetFormatPr defaultRowHeight="14.4" x14ac:dyDescent="0.3"/>
  <cols>
    <col min="1" max="1" width="30.109375" style="8" customWidth="1"/>
    <col min="2" max="2" width="14.5546875" style="9" bestFit="1" customWidth="1"/>
    <col min="3" max="3" width="19" style="9" bestFit="1" customWidth="1"/>
    <col min="4" max="4" width="32.33203125" style="6" bestFit="1" customWidth="1"/>
    <col min="5" max="5" width="52.88671875" style="6" customWidth="1"/>
    <col min="6" max="6" width="21.5546875" style="7" customWidth="1"/>
    <col min="7" max="8" width="18.44140625" style="5" customWidth="1"/>
    <col min="9" max="9" width="15.5546875" style="5" customWidth="1"/>
  </cols>
  <sheetData>
    <row r="1" spans="1:10" ht="20.399999999999999" x14ac:dyDescent="0.3">
      <c r="A1" s="54" t="s">
        <v>145</v>
      </c>
      <c r="B1" s="55"/>
      <c r="C1" s="55"/>
      <c r="D1" s="55"/>
      <c r="E1" s="55"/>
      <c r="F1" s="55"/>
      <c r="G1" s="55"/>
      <c r="H1" s="55"/>
      <c r="I1" s="55"/>
    </row>
    <row r="2" spans="1:10" ht="15.6" x14ac:dyDescent="0.3">
      <c r="A2" s="58" t="s">
        <v>120</v>
      </c>
      <c r="B2" s="59"/>
      <c r="C2" s="59"/>
      <c r="D2" s="59"/>
      <c r="E2" s="59"/>
      <c r="F2" s="59"/>
      <c r="G2" s="59"/>
      <c r="H2" s="59"/>
      <c r="I2" s="59"/>
    </row>
    <row r="3" spans="1:10" ht="41.4" x14ac:dyDescent="0.3">
      <c r="A3" s="21" t="s">
        <v>122</v>
      </c>
      <c r="B3" s="21" t="s">
        <v>66</v>
      </c>
      <c r="C3" s="21" t="s">
        <v>117</v>
      </c>
      <c r="D3" s="21" t="s">
        <v>16</v>
      </c>
      <c r="E3" s="21" t="s">
        <v>17</v>
      </c>
      <c r="F3" s="22" t="s">
        <v>15</v>
      </c>
      <c r="G3" s="21" t="s">
        <v>18</v>
      </c>
      <c r="H3" s="21" t="s">
        <v>19</v>
      </c>
      <c r="I3" s="21" t="s">
        <v>129</v>
      </c>
      <c r="J3" s="35"/>
    </row>
    <row r="4" spans="1:10" s="44" customFormat="1" ht="27.6" x14ac:dyDescent="0.3">
      <c r="A4" s="26" t="s">
        <v>72</v>
      </c>
      <c r="B4" s="23" t="s">
        <v>69</v>
      </c>
      <c r="C4" s="23" t="s">
        <v>118</v>
      </c>
      <c r="D4" s="26" t="s">
        <v>93</v>
      </c>
      <c r="E4" s="27" t="s">
        <v>63</v>
      </c>
      <c r="F4" s="29">
        <v>62689.71</v>
      </c>
      <c r="G4" s="28" t="s">
        <v>105</v>
      </c>
      <c r="H4" s="28" t="s">
        <v>123</v>
      </c>
      <c r="I4" s="28">
        <v>2024</v>
      </c>
      <c r="J4" s="43"/>
    </row>
    <row r="5" spans="1:10" s="44" customFormat="1" ht="27.6" x14ac:dyDescent="0.3">
      <c r="A5" s="26" t="s">
        <v>84</v>
      </c>
      <c r="B5" s="23" t="s">
        <v>69</v>
      </c>
      <c r="C5" s="23" t="s">
        <v>118</v>
      </c>
      <c r="D5" s="26" t="s">
        <v>94</v>
      </c>
      <c r="E5" s="27" t="s">
        <v>63</v>
      </c>
      <c r="F5" s="29">
        <v>36437.620000000003</v>
      </c>
      <c r="G5" s="28" t="s">
        <v>105</v>
      </c>
      <c r="H5" s="28" t="s">
        <v>123</v>
      </c>
      <c r="I5" s="28">
        <v>2024</v>
      </c>
      <c r="J5" s="43"/>
    </row>
    <row r="6" spans="1:10" s="44" customFormat="1" ht="27.6" x14ac:dyDescent="0.3">
      <c r="A6" s="26" t="s">
        <v>73</v>
      </c>
      <c r="B6" s="23" t="s">
        <v>69</v>
      </c>
      <c r="C6" s="23" t="s">
        <v>118</v>
      </c>
      <c r="D6" s="26" t="s">
        <v>95</v>
      </c>
      <c r="E6" s="27" t="s">
        <v>63</v>
      </c>
      <c r="F6" s="29">
        <v>70515.25</v>
      </c>
      <c r="G6" s="28" t="s">
        <v>105</v>
      </c>
      <c r="H6" s="28" t="s">
        <v>123</v>
      </c>
      <c r="I6" s="28">
        <v>2024</v>
      </c>
      <c r="J6" s="43"/>
    </row>
    <row r="7" spans="1:10" ht="27.6" x14ac:dyDescent="0.3">
      <c r="A7" s="26" t="s">
        <v>85</v>
      </c>
      <c r="B7" s="23" t="s">
        <v>69</v>
      </c>
      <c r="C7" s="23" t="s">
        <v>118</v>
      </c>
      <c r="D7" s="26" t="s">
        <v>96</v>
      </c>
      <c r="E7" s="27" t="s">
        <v>63</v>
      </c>
      <c r="F7" s="29">
        <v>32890.04</v>
      </c>
      <c r="G7" s="28" t="s">
        <v>105</v>
      </c>
      <c r="H7" s="28" t="s">
        <v>123</v>
      </c>
      <c r="I7" s="28">
        <v>2024</v>
      </c>
      <c r="J7" s="35"/>
    </row>
    <row r="8" spans="1:10" ht="27.6" x14ac:dyDescent="0.3">
      <c r="A8" s="26" t="s">
        <v>74</v>
      </c>
      <c r="B8" s="23" t="s">
        <v>69</v>
      </c>
      <c r="C8" s="23" t="s">
        <v>118</v>
      </c>
      <c r="D8" s="26" t="s">
        <v>97</v>
      </c>
      <c r="E8" s="27" t="s">
        <v>63</v>
      </c>
      <c r="F8" s="29">
        <v>77234.789999999994</v>
      </c>
      <c r="G8" s="28" t="s">
        <v>105</v>
      </c>
      <c r="H8" s="28" t="s">
        <v>123</v>
      </c>
      <c r="I8" s="28">
        <v>2024</v>
      </c>
      <c r="J8" s="35"/>
    </row>
    <row r="9" spans="1:10" ht="27.6" x14ac:dyDescent="0.3">
      <c r="A9" s="26" t="s">
        <v>75</v>
      </c>
      <c r="B9" s="23" t="s">
        <v>70</v>
      </c>
      <c r="C9" s="23" t="s">
        <v>118</v>
      </c>
      <c r="D9" s="26" t="s">
        <v>98</v>
      </c>
      <c r="E9" s="27" t="s">
        <v>63</v>
      </c>
      <c r="F9" s="29">
        <v>26170.51</v>
      </c>
      <c r="G9" s="28" t="s">
        <v>105</v>
      </c>
      <c r="H9" s="28" t="s">
        <v>123</v>
      </c>
      <c r="I9" s="28">
        <v>2024</v>
      </c>
      <c r="J9" s="35"/>
    </row>
    <row r="10" spans="1:10" ht="27.6" x14ac:dyDescent="0.3">
      <c r="A10" s="26" t="s">
        <v>76</v>
      </c>
      <c r="B10" s="23" t="s">
        <v>69</v>
      </c>
      <c r="C10" s="23" t="s">
        <v>118</v>
      </c>
      <c r="D10" s="26" t="s">
        <v>99</v>
      </c>
      <c r="E10" s="27" t="s">
        <v>63</v>
      </c>
      <c r="F10" s="29">
        <v>58808.24</v>
      </c>
      <c r="G10" s="28" t="s">
        <v>105</v>
      </c>
      <c r="H10" s="28" t="s">
        <v>123</v>
      </c>
      <c r="I10" s="28">
        <v>2024</v>
      </c>
      <c r="J10" s="35"/>
    </row>
    <row r="11" spans="1:10" ht="27.6" x14ac:dyDescent="0.3">
      <c r="A11" s="26" t="s">
        <v>86</v>
      </c>
      <c r="B11" s="23" t="s">
        <v>70</v>
      </c>
      <c r="C11" s="23" t="s">
        <v>118</v>
      </c>
      <c r="D11" s="26" t="s">
        <v>100</v>
      </c>
      <c r="E11" s="27" t="s">
        <v>63</v>
      </c>
      <c r="F11" s="29">
        <v>27464.33</v>
      </c>
      <c r="G11" s="28" t="s">
        <v>105</v>
      </c>
      <c r="H11" s="28" t="s">
        <v>123</v>
      </c>
      <c r="I11" s="28">
        <v>2024</v>
      </c>
      <c r="J11" s="35"/>
    </row>
    <row r="12" spans="1:10" ht="27.6" x14ac:dyDescent="0.3">
      <c r="A12" s="26" t="s">
        <v>86</v>
      </c>
      <c r="B12" s="23" t="s">
        <v>70</v>
      </c>
      <c r="C12" s="23" t="s">
        <v>118</v>
      </c>
      <c r="D12" s="26" t="s">
        <v>101</v>
      </c>
      <c r="E12" s="27" t="s">
        <v>63</v>
      </c>
      <c r="F12" s="29">
        <v>25210.58</v>
      </c>
      <c r="G12" s="28" t="s">
        <v>105</v>
      </c>
      <c r="H12" s="28" t="s">
        <v>123</v>
      </c>
      <c r="I12" s="28">
        <v>2024</v>
      </c>
      <c r="J12" s="35"/>
    </row>
    <row r="13" spans="1:10" ht="27.6" x14ac:dyDescent="0.3">
      <c r="A13" s="26" t="s">
        <v>86</v>
      </c>
      <c r="B13" s="23" t="s">
        <v>70</v>
      </c>
      <c r="C13" s="23" t="s">
        <v>118</v>
      </c>
      <c r="D13" s="26" t="s">
        <v>102</v>
      </c>
      <c r="E13" s="27" t="s">
        <v>63</v>
      </c>
      <c r="F13" s="29">
        <v>31053.65</v>
      </c>
      <c r="G13" s="28" t="s">
        <v>105</v>
      </c>
      <c r="H13" s="28" t="s">
        <v>123</v>
      </c>
      <c r="I13" s="28">
        <v>2024</v>
      </c>
      <c r="J13" s="35"/>
    </row>
    <row r="14" spans="1:10" ht="27.6" x14ac:dyDescent="0.3">
      <c r="A14" s="26" t="s">
        <v>77</v>
      </c>
      <c r="B14" s="23" t="s">
        <v>69</v>
      </c>
      <c r="C14" s="23" t="s">
        <v>118</v>
      </c>
      <c r="D14" s="26" t="s">
        <v>103</v>
      </c>
      <c r="E14" s="27" t="s">
        <v>63</v>
      </c>
      <c r="F14" s="29">
        <v>51525.27</v>
      </c>
      <c r="G14" s="28" t="s">
        <v>105</v>
      </c>
      <c r="H14" s="28" t="s">
        <v>123</v>
      </c>
      <c r="I14" s="28">
        <v>2024</v>
      </c>
      <c r="J14" s="35"/>
    </row>
    <row r="15" spans="1:10" ht="41.4" x14ac:dyDescent="0.3">
      <c r="A15" s="26" t="s">
        <v>87</v>
      </c>
      <c r="B15" s="23" t="s">
        <v>104</v>
      </c>
      <c r="C15" s="23" t="s">
        <v>119</v>
      </c>
      <c r="D15" s="26" t="s">
        <v>132</v>
      </c>
      <c r="E15" s="27" t="s">
        <v>116</v>
      </c>
      <c r="F15" s="29">
        <v>75000000</v>
      </c>
      <c r="G15" s="28" t="s">
        <v>40</v>
      </c>
      <c r="H15" s="28" t="s">
        <v>123</v>
      </c>
      <c r="I15" s="28">
        <v>2024</v>
      </c>
      <c r="J15" s="35"/>
    </row>
    <row r="16" spans="1:10" ht="27.6" x14ac:dyDescent="0.3">
      <c r="A16" s="26" t="s">
        <v>79</v>
      </c>
      <c r="B16" s="23" t="s">
        <v>70</v>
      </c>
      <c r="C16" s="23" t="s">
        <v>118</v>
      </c>
      <c r="D16" s="26" t="s">
        <v>88</v>
      </c>
      <c r="E16" s="27" t="s">
        <v>116</v>
      </c>
      <c r="F16" s="29">
        <v>1046861.35</v>
      </c>
      <c r="G16" s="28" t="s">
        <v>105</v>
      </c>
      <c r="H16" s="28" t="s">
        <v>123</v>
      </c>
      <c r="I16" s="28">
        <v>2024</v>
      </c>
      <c r="J16" s="35"/>
    </row>
    <row r="17" spans="1:10" ht="27.6" x14ac:dyDescent="0.3">
      <c r="A17" s="26" t="s">
        <v>80</v>
      </c>
      <c r="B17" s="23" t="s">
        <v>70</v>
      </c>
      <c r="C17" s="23" t="s">
        <v>118</v>
      </c>
      <c r="D17" s="26" t="s">
        <v>89</v>
      </c>
      <c r="E17" s="27" t="s">
        <v>116</v>
      </c>
      <c r="F17" s="29">
        <v>2999927.19</v>
      </c>
      <c r="G17" s="28" t="s">
        <v>105</v>
      </c>
      <c r="H17" s="28" t="s">
        <v>123</v>
      </c>
      <c r="I17" s="28">
        <v>2024</v>
      </c>
      <c r="J17" s="35"/>
    </row>
    <row r="18" spans="1:10" ht="27.6" x14ac:dyDescent="0.3">
      <c r="A18" s="26" t="s">
        <v>81</v>
      </c>
      <c r="B18" s="23" t="s">
        <v>70</v>
      </c>
      <c r="C18" s="23" t="s">
        <v>118</v>
      </c>
      <c r="D18" s="26" t="s">
        <v>90</v>
      </c>
      <c r="E18" s="27" t="s">
        <v>116</v>
      </c>
      <c r="F18" s="29">
        <v>1763802.43</v>
      </c>
      <c r="G18" s="28" t="s">
        <v>105</v>
      </c>
      <c r="H18" s="28" t="s">
        <v>123</v>
      </c>
      <c r="I18" s="28">
        <v>2024</v>
      </c>
      <c r="J18" s="35"/>
    </row>
    <row r="19" spans="1:10" ht="27.6" x14ac:dyDescent="0.3">
      <c r="A19" s="26" t="s">
        <v>82</v>
      </c>
      <c r="B19" s="23" t="s">
        <v>70</v>
      </c>
      <c r="C19" s="23" t="s">
        <v>118</v>
      </c>
      <c r="D19" s="26" t="s">
        <v>91</v>
      </c>
      <c r="E19" s="27" t="s">
        <v>116</v>
      </c>
      <c r="F19" s="29">
        <v>2689409</v>
      </c>
      <c r="G19" s="28" t="s">
        <v>105</v>
      </c>
      <c r="H19" s="28" t="s">
        <v>123</v>
      </c>
      <c r="I19" s="28">
        <v>2024</v>
      </c>
      <c r="J19" s="35"/>
    </row>
    <row r="20" spans="1:10" ht="69" x14ac:dyDescent="0.3">
      <c r="A20" s="26" t="s">
        <v>83</v>
      </c>
      <c r="B20" s="23" t="s">
        <v>70</v>
      </c>
      <c r="C20" s="23" t="s">
        <v>118</v>
      </c>
      <c r="D20" s="26" t="s">
        <v>92</v>
      </c>
      <c r="E20" s="27" t="s">
        <v>116</v>
      </c>
      <c r="F20" s="29">
        <v>3000000</v>
      </c>
      <c r="G20" s="28" t="s">
        <v>105</v>
      </c>
      <c r="H20" s="28" t="s">
        <v>123</v>
      </c>
      <c r="I20" s="28">
        <v>2024</v>
      </c>
      <c r="J20" s="35"/>
    </row>
    <row r="21" spans="1:10" ht="27.6" x14ac:dyDescent="0.3">
      <c r="A21" s="26" t="s">
        <v>35</v>
      </c>
      <c r="B21" s="23" t="s">
        <v>67</v>
      </c>
      <c r="C21" s="23" t="s">
        <v>119</v>
      </c>
      <c r="D21" s="26" t="s">
        <v>57</v>
      </c>
      <c r="E21" s="27" t="s">
        <v>114</v>
      </c>
      <c r="F21" s="24">
        <v>241334.35</v>
      </c>
      <c r="G21" s="28" t="s">
        <v>40</v>
      </c>
      <c r="H21" s="28" t="s">
        <v>124</v>
      </c>
      <c r="I21" s="28" t="s">
        <v>20</v>
      </c>
      <c r="J21" s="35"/>
    </row>
    <row r="22" spans="1:10" ht="27.6" x14ac:dyDescent="0.3">
      <c r="A22" s="26" t="s">
        <v>21</v>
      </c>
      <c r="B22" s="23" t="s">
        <v>67</v>
      </c>
      <c r="C22" s="23" t="s">
        <v>119</v>
      </c>
      <c r="D22" s="26" t="s">
        <v>41</v>
      </c>
      <c r="E22" s="27" t="s">
        <v>114</v>
      </c>
      <c r="F22" s="24">
        <v>249656</v>
      </c>
      <c r="G22" s="28" t="s">
        <v>40</v>
      </c>
      <c r="H22" s="28" t="s">
        <v>124</v>
      </c>
      <c r="I22" s="28" t="s">
        <v>20</v>
      </c>
      <c r="J22" s="35"/>
    </row>
    <row r="23" spans="1:10" ht="27.6" x14ac:dyDescent="0.3">
      <c r="A23" s="26" t="s">
        <v>33</v>
      </c>
      <c r="B23" s="23" t="s">
        <v>67</v>
      </c>
      <c r="C23" s="23" t="s">
        <v>119</v>
      </c>
      <c r="D23" s="26" t="s">
        <v>55</v>
      </c>
      <c r="E23" s="27" t="s">
        <v>114</v>
      </c>
      <c r="F23" s="24">
        <v>250000</v>
      </c>
      <c r="G23" s="28" t="s">
        <v>40</v>
      </c>
      <c r="H23" s="28" t="s">
        <v>124</v>
      </c>
      <c r="I23" s="28" t="s">
        <v>20</v>
      </c>
      <c r="J23" s="35"/>
    </row>
    <row r="24" spans="1:10" x14ac:dyDescent="0.3">
      <c r="A24" s="26" t="s">
        <v>27</v>
      </c>
      <c r="B24" s="23" t="s">
        <v>121</v>
      </c>
      <c r="C24" s="23" t="s">
        <v>119</v>
      </c>
      <c r="D24" s="26" t="s">
        <v>47</v>
      </c>
      <c r="E24" s="27" t="s">
        <v>114</v>
      </c>
      <c r="F24" s="24">
        <v>249980</v>
      </c>
      <c r="G24" s="28" t="s">
        <v>40</v>
      </c>
      <c r="H24" s="28" t="s">
        <v>124</v>
      </c>
      <c r="I24" s="28" t="s">
        <v>20</v>
      </c>
      <c r="J24" s="35"/>
    </row>
    <row r="25" spans="1:10" ht="27.6" x14ac:dyDescent="0.3">
      <c r="A25" s="26" t="s">
        <v>24</v>
      </c>
      <c r="B25" s="23" t="s">
        <v>67</v>
      </c>
      <c r="C25" s="23" t="s">
        <v>119</v>
      </c>
      <c r="D25" s="26" t="s">
        <v>44</v>
      </c>
      <c r="E25" s="27" t="s">
        <v>62</v>
      </c>
      <c r="F25" s="24">
        <v>250000</v>
      </c>
      <c r="G25" s="28" t="s">
        <v>40</v>
      </c>
      <c r="H25" s="28" t="s">
        <v>124</v>
      </c>
      <c r="I25" s="28" t="s">
        <v>20</v>
      </c>
      <c r="J25" s="35"/>
    </row>
    <row r="26" spans="1:10" ht="27.6" x14ac:dyDescent="0.3">
      <c r="A26" s="26" t="s">
        <v>25</v>
      </c>
      <c r="B26" s="23" t="s">
        <v>67</v>
      </c>
      <c r="C26" s="23" t="s">
        <v>119</v>
      </c>
      <c r="D26" s="26" t="s">
        <v>45</v>
      </c>
      <c r="E26" s="27" t="s">
        <v>62</v>
      </c>
      <c r="F26" s="24">
        <v>112204.25</v>
      </c>
      <c r="G26" s="28" t="s">
        <v>40</v>
      </c>
      <c r="H26" s="28" t="s">
        <v>124</v>
      </c>
      <c r="I26" s="28" t="s">
        <v>20</v>
      </c>
      <c r="J26" s="35"/>
    </row>
    <row r="27" spans="1:10" ht="27.6" x14ac:dyDescent="0.3">
      <c r="A27" s="26" t="s">
        <v>32</v>
      </c>
      <c r="B27" s="23" t="s">
        <v>67</v>
      </c>
      <c r="C27" s="23" t="s">
        <v>119</v>
      </c>
      <c r="D27" s="26" t="s">
        <v>53</v>
      </c>
      <c r="E27" s="27" t="s">
        <v>62</v>
      </c>
      <c r="F27" s="24">
        <v>250000</v>
      </c>
      <c r="G27" s="28" t="s">
        <v>40</v>
      </c>
      <c r="H27" s="28" t="s">
        <v>124</v>
      </c>
      <c r="I27" s="28" t="s">
        <v>20</v>
      </c>
      <c r="J27" s="35"/>
    </row>
    <row r="28" spans="1:10" ht="27.6" x14ac:dyDescent="0.3">
      <c r="A28" s="26" t="s">
        <v>32</v>
      </c>
      <c r="B28" s="23" t="s">
        <v>67</v>
      </c>
      <c r="C28" s="23" t="s">
        <v>119</v>
      </c>
      <c r="D28" s="26" t="s">
        <v>54</v>
      </c>
      <c r="E28" s="27" t="s">
        <v>62</v>
      </c>
      <c r="F28" s="24">
        <v>250000</v>
      </c>
      <c r="G28" s="28" t="s">
        <v>40</v>
      </c>
      <c r="H28" s="28" t="s">
        <v>124</v>
      </c>
      <c r="I28" s="28" t="s">
        <v>20</v>
      </c>
      <c r="J28" s="35"/>
    </row>
    <row r="29" spans="1:10" ht="27.6" x14ac:dyDescent="0.3">
      <c r="A29" s="26" t="s">
        <v>22</v>
      </c>
      <c r="B29" s="23" t="s">
        <v>67</v>
      </c>
      <c r="C29" s="23" t="s">
        <v>119</v>
      </c>
      <c r="D29" s="26" t="s">
        <v>42</v>
      </c>
      <c r="E29" s="27" t="s">
        <v>62</v>
      </c>
      <c r="F29" s="24">
        <v>159720</v>
      </c>
      <c r="G29" s="28" t="s">
        <v>40</v>
      </c>
      <c r="H29" s="28" t="s">
        <v>124</v>
      </c>
      <c r="I29" s="28" t="s">
        <v>20</v>
      </c>
      <c r="J29" s="35"/>
    </row>
    <row r="30" spans="1:10" ht="41.4" x14ac:dyDescent="0.3">
      <c r="A30" s="26" t="s">
        <v>29</v>
      </c>
      <c r="B30" s="23" t="s">
        <v>67</v>
      </c>
      <c r="C30" s="23" t="s">
        <v>119</v>
      </c>
      <c r="D30" s="26" t="s">
        <v>49</v>
      </c>
      <c r="E30" s="27" t="s">
        <v>62</v>
      </c>
      <c r="F30" s="24">
        <v>250000</v>
      </c>
      <c r="G30" s="28" t="s">
        <v>40</v>
      </c>
      <c r="H30" s="28" t="s">
        <v>124</v>
      </c>
      <c r="I30" s="28" t="s">
        <v>20</v>
      </c>
      <c r="J30" s="35"/>
    </row>
    <row r="31" spans="1:10" ht="27.6" x14ac:dyDescent="0.3">
      <c r="A31" s="26" t="s">
        <v>28</v>
      </c>
      <c r="B31" s="23" t="s">
        <v>67</v>
      </c>
      <c r="C31" s="23" t="s">
        <v>119</v>
      </c>
      <c r="D31" s="26" t="s">
        <v>48</v>
      </c>
      <c r="E31" s="27" t="s">
        <v>62</v>
      </c>
      <c r="F31" s="24">
        <v>247104.65</v>
      </c>
      <c r="G31" s="28" t="s">
        <v>40</v>
      </c>
      <c r="H31" s="28" t="s">
        <v>124</v>
      </c>
      <c r="I31" s="28" t="s">
        <v>20</v>
      </c>
      <c r="J31" s="35"/>
    </row>
    <row r="32" spans="1:10" ht="27.6" x14ac:dyDescent="0.3">
      <c r="A32" s="26" t="s">
        <v>26</v>
      </c>
      <c r="B32" s="23" t="s">
        <v>67</v>
      </c>
      <c r="C32" s="23" t="s">
        <v>119</v>
      </c>
      <c r="D32" s="26" t="s">
        <v>46</v>
      </c>
      <c r="E32" s="27" t="s">
        <v>63</v>
      </c>
      <c r="F32" s="24">
        <v>229100</v>
      </c>
      <c r="G32" s="28" t="s">
        <v>40</v>
      </c>
      <c r="H32" s="28" t="s">
        <v>124</v>
      </c>
      <c r="I32" s="28" t="s">
        <v>20</v>
      </c>
      <c r="J32" s="35"/>
    </row>
    <row r="33" spans="1:10" ht="27.6" x14ac:dyDescent="0.3">
      <c r="A33" s="26" t="s">
        <v>31</v>
      </c>
      <c r="B33" s="23" t="s">
        <v>67</v>
      </c>
      <c r="C33" s="23" t="s">
        <v>119</v>
      </c>
      <c r="D33" s="26" t="s">
        <v>51</v>
      </c>
      <c r="E33" s="27" t="s">
        <v>116</v>
      </c>
      <c r="F33" s="24">
        <v>95840.8</v>
      </c>
      <c r="G33" s="28" t="s">
        <v>40</v>
      </c>
      <c r="H33" s="28" t="s">
        <v>124</v>
      </c>
      <c r="I33" s="28" t="s">
        <v>20</v>
      </c>
      <c r="J33" s="35"/>
    </row>
    <row r="34" spans="1:10" ht="41.4" x14ac:dyDescent="0.3">
      <c r="A34" s="26" t="s">
        <v>36</v>
      </c>
      <c r="B34" s="23" t="s">
        <v>67</v>
      </c>
      <c r="C34" s="23" t="s">
        <v>119</v>
      </c>
      <c r="D34" s="26" t="s">
        <v>59</v>
      </c>
      <c r="E34" s="27" t="s">
        <v>65</v>
      </c>
      <c r="F34" s="24">
        <v>250000</v>
      </c>
      <c r="G34" s="28" t="s">
        <v>40</v>
      </c>
      <c r="H34" s="28" t="s">
        <v>124</v>
      </c>
      <c r="I34" s="28" t="s">
        <v>20</v>
      </c>
      <c r="J34" s="35"/>
    </row>
    <row r="35" spans="1:10" ht="41.4" x14ac:dyDescent="0.3">
      <c r="A35" s="26" t="s">
        <v>68</v>
      </c>
      <c r="B35" s="23" t="s">
        <v>67</v>
      </c>
      <c r="C35" s="23" t="s">
        <v>119</v>
      </c>
      <c r="D35" s="26" t="s">
        <v>58</v>
      </c>
      <c r="E35" s="27" t="s">
        <v>65</v>
      </c>
      <c r="F35" s="24">
        <v>249999.95</v>
      </c>
      <c r="G35" s="28" t="s">
        <v>40</v>
      </c>
      <c r="H35" s="28" t="s">
        <v>124</v>
      </c>
      <c r="I35" s="28" t="s">
        <v>20</v>
      </c>
      <c r="J35" s="35"/>
    </row>
    <row r="36" spans="1:10" ht="27.6" x14ac:dyDescent="0.3">
      <c r="A36" s="26" t="s">
        <v>125</v>
      </c>
      <c r="B36" s="23" t="s">
        <v>67</v>
      </c>
      <c r="C36" s="23" t="s">
        <v>119</v>
      </c>
      <c r="D36" s="26" t="s">
        <v>52</v>
      </c>
      <c r="E36" s="27" t="s">
        <v>64</v>
      </c>
      <c r="F36" s="24">
        <v>250000</v>
      </c>
      <c r="G36" s="28" t="s">
        <v>40</v>
      </c>
      <c r="H36" s="28" t="s">
        <v>124</v>
      </c>
      <c r="I36" s="28" t="s">
        <v>20</v>
      </c>
      <c r="J36" s="35"/>
    </row>
    <row r="37" spans="1:10" ht="27.6" x14ac:dyDescent="0.3">
      <c r="A37" s="26" t="s">
        <v>34</v>
      </c>
      <c r="B37" s="23" t="s">
        <v>67</v>
      </c>
      <c r="C37" s="23" t="s">
        <v>119</v>
      </c>
      <c r="D37" s="26" t="s">
        <v>56</v>
      </c>
      <c r="E37" s="27" t="s">
        <v>64</v>
      </c>
      <c r="F37" s="24">
        <v>225522</v>
      </c>
      <c r="G37" s="28" t="s">
        <v>40</v>
      </c>
      <c r="H37" s="28" t="s">
        <v>124</v>
      </c>
      <c r="I37" s="28" t="s">
        <v>20</v>
      </c>
      <c r="J37" s="35"/>
    </row>
    <row r="38" spans="1:10" x14ac:dyDescent="0.3">
      <c r="A38" s="26" t="s">
        <v>38</v>
      </c>
      <c r="B38" s="23" t="s">
        <v>70</v>
      </c>
      <c r="C38" s="23" t="s">
        <v>118</v>
      </c>
      <c r="D38" s="26" t="s">
        <v>60</v>
      </c>
      <c r="E38" s="27" t="s">
        <v>64</v>
      </c>
      <c r="F38" s="24">
        <v>250000</v>
      </c>
      <c r="G38" s="28" t="s">
        <v>40</v>
      </c>
      <c r="H38" s="28" t="s">
        <v>124</v>
      </c>
      <c r="I38" s="28" t="s">
        <v>20</v>
      </c>
      <c r="J38" s="35"/>
    </row>
    <row r="39" spans="1:10" ht="27.6" x14ac:dyDescent="0.3">
      <c r="A39" s="26" t="s">
        <v>30</v>
      </c>
      <c r="B39" s="23" t="s">
        <v>67</v>
      </c>
      <c r="C39" s="23" t="s">
        <v>119</v>
      </c>
      <c r="D39" s="26" t="s">
        <v>50</v>
      </c>
      <c r="E39" s="27" t="s">
        <v>64</v>
      </c>
      <c r="F39" s="24">
        <v>125036</v>
      </c>
      <c r="G39" s="28" t="s">
        <v>40</v>
      </c>
      <c r="H39" s="28" t="s">
        <v>124</v>
      </c>
      <c r="I39" s="28" t="s">
        <v>20</v>
      </c>
      <c r="J39" s="35"/>
    </row>
    <row r="40" spans="1:10" x14ac:dyDescent="0.3">
      <c r="A40" s="26" t="s">
        <v>37</v>
      </c>
      <c r="B40" s="23" t="s">
        <v>70</v>
      </c>
      <c r="C40" s="23" t="s">
        <v>118</v>
      </c>
      <c r="D40" s="26" t="s">
        <v>60</v>
      </c>
      <c r="E40" s="27" t="s">
        <v>64</v>
      </c>
      <c r="F40" s="24">
        <v>250000</v>
      </c>
      <c r="G40" s="28" t="s">
        <v>40</v>
      </c>
      <c r="H40" s="28" t="s">
        <v>124</v>
      </c>
      <c r="I40" s="28" t="s">
        <v>20</v>
      </c>
      <c r="J40" s="35"/>
    </row>
    <row r="41" spans="1:10" ht="27.6" x14ac:dyDescent="0.3">
      <c r="A41" s="26" t="s">
        <v>39</v>
      </c>
      <c r="B41" s="23" t="s">
        <v>71</v>
      </c>
      <c r="C41" s="23" t="s">
        <v>119</v>
      </c>
      <c r="D41" s="26" t="s">
        <v>61</v>
      </c>
      <c r="E41" s="27" t="s">
        <v>64</v>
      </c>
      <c r="F41" s="24">
        <v>250000</v>
      </c>
      <c r="G41" s="28" t="s">
        <v>40</v>
      </c>
      <c r="H41" s="28" t="s">
        <v>124</v>
      </c>
      <c r="I41" s="28" t="s">
        <v>20</v>
      </c>
      <c r="J41" s="35"/>
    </row>
    <row r="42" spans="1:10" x14ac:dyDescent="0.3">
      <c r="A42" s="26" t="s">
        <v>78</v>
      </c>
      <c r="B42" s="23" t="s">
        <v>69</v>
      </c>
      <c r="C42" s="23" t="s">
        <v>118</v>
      </c>
      <c r="D42" s="26" t="s">
        <v>60</v>
      </c>
      <c r="E42" s="27" t="s">
        <v>64</v>
      </c>
      <c r="F42" s="24">
        <v>250000</v>
      </c>
      <c r="G42" s="28" t="s">
        <v>40</v>
      </c>
      <c r="H42" s="28" t="s">
        <v>124</v>
      </c>
      <c r="I42" s="28" t="s">
        <v>20</v>
      </c>
      <c r="J42" s="35"/>
    </row>
    <row r="43" spans="1:10" ht="27.6" x14ac:dyDescent="0.3">
      <c r="A43" s="26" t="s">
        <v>23</v>
      </c>
      <c r="B43" s="23" t="s">
        <v>67</v>
      </c>
      <c r="C43" s="23" t="s">
        <v>119</v>
      </c>
      <c r="D43" s="26" t="s">
        <v>43</v>
      </c>
      <c r="E43" s="27" t="s">
        <v>115</v>
      </c>
      <c r="F43" s="24">
        <v>64502</v>
      </c>
      <c r="G43" s="28" t="s">
        <v>40</v>
      </c>
      <c r="H43" s="28" t="s">
        <v>124</v>
      </c>
      <c r="I43" s="28" t="s">
        <v>20</v>
      </c>
      <c r="J43" s="35"/>
    </row>
    <row r="44" spans="1:10" ht="41.4" x14ac:dyDescent="0.3">
      <c r="A44" s="26" t="s">
        <v>87</v>
      </c>
      <c r="B44" s="23" t="s">
        <v>104</v>
      </c>
      <c r="C44" s="23" t="s">
        <v>119</v>
      </c>
      <c r="D44" s="26" t="s">
        <v>132</v>
      </c>
      <c r="E44" s="27" t="s">
        <v>116</v>
      </c>
      <c r="F44" s="29">
        <v>40000000</v>
      </c>
      <c r="G44" s="28" t="s">
        <v>40</v>
      </c>
      <c r="H44" s="28" t="s">
        <v>133</v>
      </c>
      <c r="I44" s="45" t="s">
        <v>134</v>
      </c>
      <c r="J44" s="35"/>
    </row>
    <row r="45" spans="1:10" ht="27.6" x14ac:dyDescent="0.3">
      <c r="A45" s="46" t="s">
        <v>135</v>
      </c>
      <c r="B45" s="45" t="s">
        <v>104</v>
      </c>
      <c r="C45" s="45" t="s">
        <v>119</v>
      </c>
      <c r="D45" s="42" t="s">
        <v>135</v>
      </c>
      <c r="E45" s="45" t="s">
        <v>137</v>
      </c>
      <c r="F45" s="47">
        <v>1000000</v>
      </c>
      <c r="G45" s="45" t="s">
        <v>40</v>
      </c>
      <c r="H45" s="28" t="s">
        <v>133</v>
      </c>
      <c r="I45" s="45" t="s">
        <v>134</v>
      </c>
      <c r="J45" s="35"/>
    </row>
    <row r="46" spans="1:10" ht="27.6" x14ac:dyDescent="0.3">
      <c r="A46" s="46" t="s">
        <v>136</v>
      </c>
      <c r="B46" s="45" t="s">
        <v>104</v>
      </c>
      <c r="C46" s="45" t="s">
        <v>119</v>
      </c>
      <c r="D46" s="42" t="s">
        <v>136</v>
      </c>
      <c r="E46" s="45" t="s">
        <v>138</v>
      </c>
      <c r="F46" s="47">
        <v>3000000</v>
      </c>
      <c r="G46" s="45" t="s">
        <v>40</v>
      </c>
      <c r="H46" s="28" t="s">
        <v>133</v>
      </c>
      <c r="I46" s="45" t="s">
        <v>134</v>
      </c>
      <c r="J46" s="35"/>
    </row>
    <row r="47" spans="1:10" x14ac:dyDescent="0.3">
      <c r="A47" s="30" t="s">
        <v>126</v>
      </c>
      <c r="B47" s="31"/>
      <c r="C47" s="31"/>
      <c r="D47" s="32"/>
      <c r="E47" s="32"/>
      <c r="F47" s="33">
        <f>SUM(F4:F46)</f>
        <v>135999999.95999998</v>
      </c>
      <c r="G47" s="34"/>
      <c r="H47" s="34"/>
      <c r="I47" s="34"/>
    </row>
  </sheetData>
  <autoFilter ref="A3:I47" xr:uid="{E6C73000-EE52-477F-A8C8-E85748043192}">
    <sortState ref="A4:I47">
      <sortCondition ref="I3:I46"/>
    </sortState>
  </autoFilter>
  <sortState ref="A7:I46">
    <sortCondition ref="A7:A46"/>
  </sortState>
  <mergeCells count="2">
    <mergeCell ref="A1:I1"/>
    <mergeCell ref="A2:I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Settlement Funds Received</vt:lpstr>
      <vt:lpstr>Settlement Fund Expenditures</vt:lpstr>
    </vt:vector>
  </TitlesOfParts>
  <Company>AZ Atty Gen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Lawson Risoldi, Liza</dc:creator>
  <cp:lastModifiedBy>Fallon, Jane</cp:lastModifiedBy>
  <cp:lastPrinted>2024-08-21T23:39:35Z</cp:lastPrinted>
  <dcterms:created xsi:type="dcterms:W3CDTF">2024-08-20T16:31:06Z</dcterms:created>
  <dcterms:modified xsi:type="dcterms:W3CDTF">2025-09-17T23:41:41Z</dcterms:modified>
</cp:coreProperties>
</file>